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dministrador\Desktop\Mariana\"/>
    </mc:Choice>
  </mc:AlternateContent>
  <bookViews>
    <workbookView xWindow="90" yWindow="-30" windowWidth="10665" windowHeight="7575" tabRatio="732"/>
  </bookViews>
  <sheets>
    <sheet name="Biogás   Energía eléctrica" sheetId="1" r:id="rId1"/>
    <sheet name="Biogás   Energía térmica" sheetId="4" r:id="rId2"/>
    <sheet name="Combustibles alternativos" sheetId="5" r:id="rId3"/>
    <sheet name="Compostaje " sheetId="23" r:id="rId4"/>
    <sheet name="Comentarios" sheetId="22" r:id="rId5"/>
    <sheet name="Parámetros" sheetId="3" r:id="rId6"/>
  </sheets>
  <definedNames>
    <definedName name="azucar" localSheetId="4">Comentarios!#REF!</definedName>
    <definedName name="azucar">Parámetros!#REF!</definedName>
    <definedName name="bodegas" localSheetId="4">Comentarios!$B$28:$B$29</definedName>
    <definedName name="bodegas">Parámetros!$E$26:$E$27</definedName>
    <definedName name="cervecerias" localSheetId="4">Comentarios!#REF!</definedName>
    <definedName name="cervecerias">Parámetros!#REF!</definedName>
    <definedName name="chacinerias" localSheetId="4">Comentarios!#REF!</definedName>
    <definedName name="chacinerias">Parámetros!#REF!</definedName>
    <definedName name="ciclocompleto" localSheetId="4">Comentarios!$B$12:$B$12</definedName>
    <definedName name="ciclocompleto">Parámetros!$E$11:$E$11</definedName>
    <definedName name="curtiembres" localSheetId="4">Comentarios!$B$25:$B$27</definedName>
    <definedName name="curtiembres">Parámetros!$E$23:$E$25</definedName>
    <definedName name="engorde" localSheetId="4">Comentarios!$B$10:$B$11</definedName>
    <definedName name="engorde">Parámetros!$E$9:$E$10</definedName>
    <definedName name="faenaaves" localSheetId="4">Comentarios!$B$15:$B$17</definedName>
    <definedName name="faenaaves">Parámetros!$E$14:$E$16</definedName>
    <definedName name="feedlot" localSheetId="4">Comentarios!$B$4</definedName>
    <definedName name="feedlot">Parámetros!$E$3</definedName>
    <definedName name="frigorificos" localSheetId="4">Comentarios!$B$18:$B$23</definedName>
    <definedName name="frigorificos">Parámetros!$E$17:$E$21</definedName>
    <definedName name="frutas" localSheetId="4">Comentarios!#REF!</definedName>
    <definedName name="frutas">Parámetros!#REF!</definedName>
    <definedName name="FV" localSheetId="3">'Compostaje '!$B$65:$B$65</definedName>
    <definedName name="FV">#REF!</definedName>
    <definedName name="lactea" localSheetId="4">Comentarios!$B$7:$B$9</definedName>
    <definedName name="lactea">Parámetros!$E$6:$E$8</definedName>
    <definedName name="lana" localSheetId="4">Comentarios!#REF!</definedName>
    <definedName name="lana">Parámetros!#REF!</definedName>
    <definedName name="oleaginosa" localSheetId="4">Comentarios!#REF!</definedName>
    <definedName name="oleaginosa">Parámetros!#REF!</definedName>
    <definedName name="olivicola" localSheetId="4">Comentarios!$B$24</definedName>
    <definedName name="olivicola">Parámetros!$E$22</definedName>
    <definedName name="pollosparrilleros" localSheetId="4">Comentarios!$B$13</definedName>
    <definedName name="pollosparrilleros">Parámetros!$E$12</definedName>
    <definedName name="ponedoras" localSheetId="4">Comentarios!$B$14</definedName>
    <definedName name="ponedoras">Parámetros!$E$13</definedName>
    <definedName name="tambos" localSheetId="4">Comentarios!$B$6</definedName>
    <definedName name="tambos">Parámetros!$E$4:$E$5</definedName>
  </definedNames>
  <calcPr calcId="152511"/>
</workbook>
</file>

<file path=xl/calcChain.xml><?xml version="1.0" encoding="utf-8"?>
<calcChain xmlns="http://schemas.openxmlformats.org/spreadsheetml/2006/main">
  <c r="AK5" i="22" l="1"/>
  <c r="AF5" i="22"/>
  <c r="AF6" i="22" s="1"/>
  <c r="AG5" i="22"/>
  <c r="AG6" i="22" s="1"/>
  <c r="AH5" i="22"/>
  <c r="AH6" i="22" s="1"/>
  <c r="AI5" i="22"/>
  <c r="AI6" i="22" s="1"/>
  <c r="AJ5" i="22"/>
  <c r="AJ6" i="22" s="1"/>
  <c r="AL5" i="22"/>
  <c r="AL6" i="22" s="1"/>
  <c r="AK6" i="22"/>
  <c r="AF11" i="22"/>
  <c r="AG11" i="22"/>
  <c r="AH11" i="22"/>
  <c r="AI11" i="22"/>
  <c r="AJ11" i="22"/>
  <c r="AK11" i="22"/>
  <c r="AL11" i="22"/>
  <c r="AF12" i="22"/>
  <c r="AG12" i="22"/>
  <c r="AH12" i="22"/>
  <c r="AI12" i="22"/>
  <c r="AJ12" i="22"/>
  <c r="AK12" i="22"/>
  <c r="AL12" i="22"/>
  <c r="AF13" i="22"/>
  <c r="AG13" i="22"/>
  <c r="AH13" i="22"/>
  <c r="AI13" i="22"/>
  <c r="AJ13" i="22"/>
  <c r="AK13" i="22"/>
  <c r="AL13" i="22"/>
  <c r="AF14" i="22"/>
  <c r="AG14" i="22"/>
  <c r="AH14" i="22"/>
  <c r="AI14" i="22"/>
  <c r="AJ14" i="22"/>
  <c r="AK14" i="22"/>
  <c r="AL14" i="22"/>
  <c r="AF15" i="22"/>
  <c r="AG15" i="22"/>
  <c r="AH15" i="22"/>
  <c r="AI15" i="22"/>
  <c r="AJ15" i="22"/>
  <c r="AK15" i="22"/>
  <c r="AL15" i="22"/>
  <c r="AF19" i="22"/>
  <c r="AG19" i="22"/>
  <c r="AH19" i="22"/>
  <c r="AI19" i="22"/>
  <c r="AJ19" i="22"/>
  <c r="AK19" i="22"/>
  <c r="AL19" i="22"/>
  <c r="AF24" i="22"/>
  <c r="AG24" i="22"/>
  <c r="AH24" i="22"/>
  <c r="AI24" i="22"/>
  <c r="AJ24" i="22"/>
  <c r="AK24" i="22"/>
  <c r="AL24" i="22"/>
  <c r="AF25" i="22"/>
  <c r="AG25" i="22"/>
  <c r="AH25" i="22"/>
  <c r="AI25" i="22"/>
  <c r="AJ25" i="22"/>
  <c r="AK25" i="22"/>
  <c r="AL25" i="22"/>
  <c r="AF28" i="22"/>
  <c r="AG28" i="22"/>
  <c r="AH28" i="22"/>
  <c r="AI28" i="22"/>
  <c r="AJ28" i="22"/>
  <c r="AK28" i="22"/>
  <c r="AL28" i="22"/>
  <c r="AF29" i="22"/>
  <c r="AG29" i="22"/>
  <c r="AH29" i="22"/>
  <c r="AI29" i="22"/>
  <c r="AJ29" i="22"/>
  <c r="AK29" i="22"/>
  <c r="AL29" i="22"/>
  <c r="AE29" i="22"/>
  <c r="AE28" i="22"/>
  <c r="AE25" i="22"/>
  <c r="AE24" i="22"/>
  <c r="AE19" i="22"/>
  <c r="AE15" i="22"/>
  <c r="AE14" i="22"/>
  <c r="AE13" i="22"/>
  <c r="AE12" i="22"/>
  <c r="AE11" i="22"/>
  <c r="AE5" i="22"/>
  <c r="AE6" i="22" s="1"/>
  <c r="V13" i="3" l="1"/>
  <c r="G10" i="3" l="1"/>
  <c r="G11" i="3"/>
  <c r="G16" i="3"/>
  <c r="G15" i="3"/>
  <c r="G14" i="3"/>
  <c r="V27" i="3" l="1"/>
  <c r="G27" i="3"/>
  <c r="J27" i="3" s="1"/>
  <c r="F27" i="3"/>
  <c r="V26" i="3"/>
  <c r="O26" i="3"/>
  <c r="N26" i="3"/>
  <c r="G26" i="3"/>
  <c r="J26" i="3" s="1"/>
  <c r="F26" i="3"/>
  <c r="G25" i="3"/>
  <c r="F25" i="3"/>
  <c r="O24" i="3"/>
  <c r="N24" i="3"/>
  <c r="G24" i="3"/>
  <c r="J24" i="3" s="1"/>
  <c r="F24" i="3"/>
  <c r="V23" i="3"/>
  <c r="G23" i="3"/>
  <c r="J23" i="3" s="1"/>
  <c r="F23" i="3"/>
  <c r="V22" i="3"/>
  <c r="I22" i="3"/>
  <c r="G22" i="3"/>
  <c r="J22" i="3" s="1"/>
  <c r="F22" i="3"/>
  <c r="F21" i="3"/>
  <c r="F20" i="3"/>
  <c r="F19" i="3"/>
  <c r="V18" i="3"/>
  <c r="O18" i="3"/>
  <c r="N18" i="3"/>
  <c r="J18" i="3"/>
  <c r="F18" i="3"/>
  <c r="V17" i="3"/>
  <c r="F17" i="3"/>
  <c r="J16" i="3"/>
  <c r="F16" i="3"/>
  <c r="V15" i="3"/>
  <c r="O15" i="3"/>
  <c r="N15" i="3"/>
  <c r="J15" i="3"/>
  <c r="F15" i="3"/>
  <c r="V14" i="3"/>
  <c r="J14" i="3"/>
  <c r="F14" i="3"/>
  <c r="G13" i="3"/>
  <c r="J13" i="3" s="1"/>
  <c r="F13" i="3"/>
  <c r="O12" i="3"/>
  <c r="N12" i="3"/>
  <c r="G12" i="3"/>
  <c r="J12" i="3" s="1"/>
  <c r="F12" i="3"/>
  <c r="J11" i="3"/>
  <c r="F11" i="3"/>
  <c r="V10" i="3"/>
  <c r="J10" i="3"/>
  <c r="F10" i="3"/>
  <c r="AG9" i="3"/>
  <c r="AE9" i="3"/>
  <c r="F9" i="3"/>
  <c r="AG8" i="3"/>
  <c r="AE8" i="3"/>
  <c r="J8" i="3"/>
  <c r="F8" i="3"/>
  <c r="AE7" i="3"/>
  <c r="G7" i="3"/>
  <c r="J7" i="3" s="1"/>
  <c r="F7" i="3"/>
  <c r="G6" i="3"/>
  <c r="J6" i="3" s="1"/>
  <c r="F6" i="3"/>
  <c r="O5" i="3"/>
  <c r="N5" i="3"/>
  <c r="G5" i="3"/>
  <c r="J5" i="3" s="1"/>
  <c r="F5" i="3"/>
  <c r="V4" i="3"/>
  <c r="J4" i="3"/>
  <c r="F4" i="3"/>
  <c r="V3" i="3"/>
  <c r="J3" i="3"/>
  <c r="F3" i="3"/>
  <c r="G1" i="3"/>
  <c r="H1" i="3" s="1"/>
  <c r="I1" i="3" s="1"/>
  <c r="J1" i="3" s="1"/>
  <c r="K1" i="3" s="1"/>
  <c r="L1" i="3" s="1"/>
  <c r="M1" i="3" s="1"/>
  <c r="N1" i="3" s="1"/>
  <c r="O1" i="3" s="1"/>
  <c r="P1" i="3" s="1"/>
  <c r="Q1" i="3" s="1"/>
  <c r="R1" i="3" s="1"/>
  <c r="S1" i="3" s="1"/>
  <c r="T1" i="3" s="1"/>
  <c r="U1" i="3" s="1"/>
  <c r="V1" i="3" s="1"/>
  <c r="W1" i="3" s="1"/>
  <c r="C29" i="22"/>
  <c r="C28" i="22"/>
  <c r="C27" i="22"/>
  <c r="C26" i="22"/>
  <c r="C25" i="22"/>
  <c r="C24" i="22"/>
  <c r="C23" i="22"/>
  <c r="C22" i="22"/>
  <c r="C21" i="22"/>
  <c r="C20" i="22"/>
  <c r="C19" i="22"/>
  <c r="C18" i="22"/>
  <c r="C17" i="22"/>
  <c r="C16" i="22"/>
  <c r="C15" i="22"/>
  <c r="C14" i="22"/>
  <c r="C13" i="22"/>
  <c r="C12" i="22"/>
  <c r="C11" i="22"/>
  <c r="C10" i="22"/>
  <c r="C9" i="22"/>
  <c r="C8" i="22"/>
  <c r="C7" i="22"/>
  <c r="C6" i="22"/>
  <c r="C5" i="22"/>
  <c r="C4" i="22"/>
  <c r="E26" i="23" s="1"/>
  <c r="D53" i="23"/>
  <c r="D8" i="23"/>
  <c r="D18" i="5"/>
  <c r="D35" i="5"/>
  <c r="D8" i="5"/>
  <c r="D21" i="4"/>
  <c r="D44" i="4"/>
  <c r="D8" i="4"/>
  <c r="D46" i="1"/>
  <c r="D8" i="1"/>
  <c r="E14" i="1" l="1"/>
  <c r="E10" i="1"/>
  <c r="E21" i="1"/>
  <c r="E17" i="1"/>
  <c r="E28" i="23"/>
  <c r="E15" i="5"/>
  <c r="E17" i="4"/>
  <c r="E15" i="4"/>
  <c r="E23" i="23"/>
  <c r="E22" i="23"/>
  <c r="E22" i="4"/>
  <c r="E25" i="1"/>
  <c r="E18" i="4"/>
  <c r="E14" i="5"/>
  <c r="E13" i="5"/>
  <c r="E19" i="5"/>
  <c r="E21" i="4"/>
  <c r="E30" i="23"/>
  <c r="E21" i="5"/>
  <c r="E25" i="23"/>
  <c r="E24" i="4"/>
  <c r="E14" i="4"/>
  <c r="E18" i="5"/>
  <c r="E10" i="4"/>
  <c r="E8" i="5"/>
  <c r="E11" i="23"/>
  <c r="E11" i="5"/>
  <c r="E11" i="1"/>
  <c r="E18" i="1"/>
  <c r="E22" i="1"/>
  <c r="E11" i="4"/>
  <c r="E8" i="23"/>
  <c r="E8" i="1"/>
  <c r="E13" i="1"/>
  <c r="E15" i="1"/>
  <c r="E20" i="1"/>
  <c r="E23" i="1"/>
  <c r="E8" i="4"/>
  <c r="E13" i="4"/>
  <c r="E10" i="5"/>
  <c r="E10" i="23"/>
  <c r="C11" i="5"/>
  <c r="C10" i="23"/>
  <c r="C10" i="1"/>
  <c r="C18" i="1" s="1"/>
  <c r="C10" i="5"/>
  <c r="C15" i="5" s="1"/>
  <c r="C11" i="4"/>
  <c r="C11" i="23"/>
  <c r="C11" i="1"/>
  <c r="C10" i="4"/>
  <c r="C18" i="4" s="1"/>
  <c r="C17" i="1" l="1"/>
  <c r="C36" i="23"/>
  <c r="C34" i="23"/>
  <c r="C35" i="23"/>
  <c r="C32" i="23"/>
  <c r="C33" i="23"/>
  <c r="C27" i="4"/>
  <c r="C28" i="4"/>
  <c r="C31" i="4"/>
  <c r="C29" i="4"/>
  <c r="C33" i="1"/>
  <c r="C29" i="1"/>
  <c r="C30" i="1"/>
  <c r="C31" i="1"/>
  <c r="C13" i="4"/>
  <c r="C14" i="5"/>
  <c r="C18" i="5" s="1"/>
  <c r="C21" i="5" s="1"/>
  <c r="C17" i="4"/>
  <c r="C13" i="1"/>
  <c r="C13" i="23"/>
  <c r="C23" i="5" l="1"/>
  <c r="C14" i="4"/>
  <c r="C21" i="4" s="1"/>
  <c r="C24" i="4" s="1"/>
  <c r="C26" i="4"/>
  <c r="C28" i="1"/>
  <c r="C19" i="5"/>
  <c r="C14" i="1"/>
  <c r="C15" i="23"/>
  <c r="C22" i="23" s="1"/>
  <c r="D24" i="23" s="1"/>
  <c r="C23" i="23"/>
  <c r="C14" i="23"/>
  <c r="C19" i="23"/>
  <c r="C30" i="23" s="1"/>
  <c r="C17" i="23"/>
  <c r="C25" i="1" l="1"/>
  <c r="C26" i="23"/>
  <c r="C39" i="23"/>
  <c r="C25" i="23"/>
  <c r="E13" i="23"/>
  <c r="E19" i="23"/>
  <c r="E17" i="23"/>
  <c r="C30" i="4"/>
  <c r="C32" i="4" s="1"/>
  <c r="C32" i="1"/>
  <c r="C34" i="1" s="1"/>
  <c r="C38" i="23"/>
  <c r="C28" i="23"/>
  <c r="C37" i="23"/>
  <c r="C22" i="4"/>
  <c r="C15" i="4"/>
  <c r="C21" i="1"/>
  <c r="C22" i="1" s="1"/>
  <c r="C23" i="1" s="1"/>
  <c r="C15" i="1"/>
  <c r="C20" i="23"/>
  <c r="C40" i="23" l="1"/>
</calcChain>
</file>

<file path=xl/comments1.xml><?xml version="1.0" encoding="utf-8"?>
<comments xmlns="http://schemas.openxmlformats.org/spreadsheetml/2006/main">
  <authors>
    <author>Florencia Benzano</author>
  </authors>
  <commentList>
    <comment ref="X2" authorId="0" shapeId="0">
      <text>
        <r>
          <rPr>
            <b/>
            <sz val="9"/>
            <color indexed="81"/>
            <rFont val="Tahoma"/>
            <family val="2"/>
          </rPr>
          <t>Florencia Benzano:</t>
        </r>
        <r>
          <rPr>
            <sz val="9"/>
            <color indexed="81"/>
            <rFont val="Tahoma"/>
            <family val="2"/>
          </rPr>
          <t xml:space="preserve">
depende de frecuencia de generación a lo largo del año, contínuo ó puntualmente Y de estado, apilable puro o no?</t>
        </r>
      </text>
    </comment>
    <comment ref="J27" authorId="0" shapeId="0">
      <text>
        <r>
          <rPr>
            <b/>
            <sz val="9"/>
            <color indexed="81"/>
            <rFont val="Tahoma"/>
            <family val="2"/>
          </rPr>
          <t>Florencia Benzano:</t>
        </r>
        <r>
          <rPr>
            <sz val="9"/>
            <color indexed="81"/>
            <rFont val="Tahoma"/>
            <family val="2"/>
          </rPr>
          <t xml:space="preserve">
ton BS de residuo/m3 de vino</t>
        </r>
      </text>
    </comment>
    <comment ref="AA50" authorId="0" shapeId="0">
      <text>
        <r>
          <rPr>
            <b/>
            <sz val="9"/>
            <color indexed="81"/>
            <rFont val="Tahoma"/>
            <family val="2"/>
          </rPr>
          <t>Florencia Benzano:</t>
        </r>
        <r>
          <rPr>
            <sz val="9"/>
            <color indexed="81"/>
            <rFont val="Tahoma"/>
            <family val="2"/>
          </rPr>
          <t xml:space="preserve">
estaba en fila de abajo e iba a acá</t>
        </r>
      </text>
    </comment>
  </commentList>
</comments>
</file>

<file path=xl/sharedStrings.xml><?xml version="1.0" encoding="utf-8"?>
<sst xmlns="http://schemas.openxmlformats.org/spreadsheetml/2006/main" count="1036" uniqueCount="407">
  <si>
    <t>Sector</t>
  </si>
  <si>
    <t>LISTA DE SECTORES</t>
  </si>
  <si>
    <t>Unidad de producción</t>
  </si>
  <si>
    <t>Engorde a corral</t>
  </si>
  <si>
    <t>Tambos</t>
  </si>
  <si>
    <t>Vacas en ordeñe</t>
  </si>
  <si>
    <t>Industria Láctea</t>
  </si>
  <si>
    <t>Cría de pollos parrilleros</t>
  </si>
  <si>
    <t>Avícolas ponedoras</t>
  </si>
  <si>
    <t>Frigoríficos</t>
  </si>
  <si>
    <t>Unidades ganaderas faenadas/año</t>
  </si>
  <si>
    <t>Producción olivícola</t>
  </si>
  <si>
    <t>Curtiembres</t>
  </si>
  <si>
    <t>Corriente de residuos</t>
  </si>
  <si>
    <t>Estiércol</t>
  </si>
  <si>
    <t>Lodos PTE</t>
  </si>
  <si>
    <t xml:space="preserve">Barros grasos </t>
  </si>
  <si>
    <t>Suero</t>
  </si>
  <si>
    <t>Residuos de alimentos</t>
  </si>
  <si>
    <t>Excretas  y purines</t>
  </si>
  <si>
    <t>Camas</t>
  </si>
  <si>
    <t>Excretas</t>
  </si>
  <si>
    <t>Sólidos de aguas rojas</t>
  </si>
  <si>
    <t>Rúmen y estiércol</t>
  </si>
  <si>
    <t>Sangre</t>
  </si>
  <si>
    <t>Alperujo</t>
  </si>
  <si>
    <t>Pelos</t>
  </si>
  <si>
    <t>Plumas</t>
  </si>
  <si>
    <t>Escobajos</t>
  </si>
  <si>
    <t>Orujo</t>
  </si>
  <si>
    <t>Nombre del rango</t>
  </si>
  <si>
    <t>feedlot</t>
  </si>
  <si>
    <t>tambos</t>
  </si>
  <si>
    <t>lactea</t>
  </si>
  <si>
    <t>engorde</t>
  </si>
  <si>
    <t>ciclocompleto</t>
  </si>
  <si>
    <t>frigorificos</t>
  </si>
  <si>
    <t>olivicola</t>
  </si>
  <si>
    <t>curtiembres</t>
  </si>
  <si>
    <t>Bodegas y sidrerías</t>
  </si>
  <si>
    <t>Industrial avícola</t>
  </si>
  <si>
    <t>bodegas</t>
  </si>
  <si>
    <t>ton/año (base húmeda)</t>
  </si>
  <si>
    <t>Tasa de generación</t>
  </si>
  <si>
    <t>Nitrógeno (% ST)</t>
  </si>
  <si>
    <t>Fósforo (% ST)</t>
  </si>
  <si>
    <t>Potasio (% ST)</t>
  </si>
  <si>
    <t>Potencial de metanización (L_CH4/kg_SV)</t>
  </si>
  <si>
    <t>Relación C/N</t>
  </si>
  <si>
    <t>Cenizas (% ST)</t>
  </si>
  <si>
    <t>Poder Calorífico Superior (kcal/kg bs)</t>
  </si>
  <si>
    <t>m3/m3 de leche procesada</t>
  </si>
  <si>
    <t>columna auxiliar</t>
  </si>
  <si>
    <t>Biogás:</t>
  </si>
  <si>
    <t>%</t>
  </si>
  <si>
    <t>PCI CH4:</t>
  </si>
  <si>
    <t>kWh/m3</t>
  </si>
  <si>
    <t>Eficiencia de generación eléctrica:</t>
  </si>
  <si>
    <t>Calor para calefacción biodigestor:</t>
  </si>
  <si>
    <t>% CH4:</t>
  </si>
  <si>
    <t>Eficiencia de generación térmica:</t>
  </si>
  <si>
    <t>kWh/kg</t>
  </si>
  <si>
    <t>Compostaje:</t>
  </si>
  <si>
    <t>Reducción del volumen:</t>
  </si>
  <si>
    <t>Humedad compost:</t>
  </si>
  <si>
    <t>Por esta razón, los resultados obtenidos son meramente orientativos y en caso de requerir resultados particulares para un emprendimiento determinado, es necesario realizar una evaluación ajustada a las características especificas de dicho emprendimiento.</t>
  </si>
  <si>
    <t>Lamentablemente, no se cuenta con datos precisos para todas las corrientes de residuos de todos los sectore abarcados; por lo que para algunos casos el simulador devuelve el mensaje "Aún no contamos con datos para este residuo".</t>
  </si>
  <si>
    <t>En la hoja "Parámetros" se encuentra una tabla con los parámetros utilizados. En caso de contar con datos propios, estos podrán ser modificados de forma de ajustar a las características del emprendimiento específico a evaluar.</t>
  </si>
  <si>
    <t>ton/m3 de leche procesada</t>
  </si>
  <si>
    <t>ton/unidad ganadera faenada</t>
  </si>
  <si>
    <t>ton/piel fresca procesada</t>
  </si>
  <si>
    <t>pollosparrilleros</t>
  </si>
  <si>
    <t>ponedoras</t>
  </si>
  <si>
    <t>faenaaves</t>
  </si>
  <si>
    <t>Combustibles alternativos</t>
  </si>
  <si>
    <t>Producción neta de biogás:</t>
  </si>
  <si>
    <t>Generación de energía eléctrica:</t>
  </si>
  <si>
    <t>Potencia equivalente (24 h/día):</t>
  </si>
  <si>
    <t>kWh/día</t>
  </si>
  <si>
    <t>kW</t>
  </si>
  <si>
    <t>Los resultados arrojados por el simulador, tanto de la cantidad y características de los residuos generados como de los resultados de la tecnología, son valores estimados en base a datos relevados de forma general para todo el sector.</t>
  </si>
  <si>
    <t>Biogás - Energía eléctrica</t>
  </si>
  <si>
    <t>Biogás - Energía térmica</t>
  </si>
  <si>
    <t>Poder Calorífico Inferior 
(kcal/kg bs)</t>
  </si>
  <si>
    <t>Calcio
(% ST)</t>
  </si>
  <si>
    <t>ST 
(%)</t>
  </si>
  <si>
    <t>SV 
(% ST)</t>
  </si>
  <si>
    <t>hs/día</t>
  </si>
  <si>
    <t>KW</t>
  </si>
  <si>
    <t>USD/año</t>
  </si>
  <si>
    <t>Compostaje</t>
  </si>
  <si>
    <t>Máxima Kwel</t>
  </si>
  <si>
    <t>Mínima Kwt</t>
  </si>
  <si>
    <t>Máxima Kwt</t>
  </si>
  <si>
    <t>USD/Kwt</t>
  </si>
  <si>
    <t>USD</t>
  </si>
  <si>
    <t>USD/Kwel</t>
  </si>
  <si>
    <t>Generación de residuos</t>
  </si>
  <si>
    <t>ton/m3</t>
  </si>
  <si>
    <t>Supuestos</t>
  </si>
  <si>
    <t>Mínima Kwel</t>
  </si>
  <si>
    <t>Costos electricidad MC1:</t>
  </si>
  <si>
    <t>USD/tonelada</t>
  </si>
  <si>
    <t>Punta 18:00 a 22:00 hrs.</t>
  </si>
  <si>
    <t>Llano 07:00 a 18:00 y de 22:00 a 24:00</t>
  </si>
  <si>
    <t>Valle 00:00 a 07:00</t>
  </si>
  <si>
    <t>UYU/kWh</t>
  </si>
  <si>
    <t>sobre inversión</t>
  </si>
  <si>
    <t>Dias al año de producción</t>
  </si>
  <si>
    <t>Comentario 4
Sobre la producción de biogás</t>
  </si>
  <si>
    <t>Comentario 5
Sobre la generación de energía eléctrica</t>
  </si>
  <si>
    <t>Comentario 6
Sobre la potencia equivalente</t>
  </si>
  <si>
    <t>Comentario 7
Sobre la potencia del motogenerador</t>
  </si>
  <si>
    <t>Comentario 8
Sobre las hs/día de funcionamiento del motogenerador</t>
  </si>
  <si>
    <t>Comentario 9
Sobre el precio de venta de la energía eléctrica</t>
  </si>
  <si>
    <t>Comentario 10
Sobre los ingresos por venta de energía</t>
  </si>
  <si>
    <t>Costos operativos anuales:</t>
  </si>
  <si>
    <t xml:space="preserve">Rangos inversión - Biogas Energía Eléctrica: </t>
  </si>
  <si>
    <t>Rangos inversión - Biogas Energía Térmica:</t>
  </si>
  <si>
    <t>Comentario 13
Sobre la generación de energía térmica</t>
  </si>
  <si>
    <t>Comentario 14
Sobre la potencia equivalente</t>
  </si>
  <si>
    <t>Generación de biogás</t>
  </si>
  <si>
    <t>Generación de energía eléctrica</t>
  </si>
  <si>
    <t>Generación de energía térmica</t>
  </si>
  <si>
    <t>Comentario 19
Sobre la humedad de quema</t>
  </si>
  <si>
    <t>Comentario 20
Sobre la generación de energía térmica</t>
  </si>
  <si>
    <t>Carbono 
(% ST)</t>
  </si>
  <si>
    <t>Pérdidas de biogás:</t>
  </si>
  <si>
    <t>Si bien el simulador no permite plantear alternativas de mezclas de distintas corrientes de residuos, es posible asumir que la suma de los resultados obtenidos para cada corriente de residuo de forma individual se acerca a la solución de forma conjunta, incluso pudiendo ser mayor.</t>
  </si>
  <si>
    <t>kg/día</t>
  </si>
  <si>
    <t>Comentario 21
Sobre la producción de cenizas</t>
  </si>
  <si>
    <t>Densidad
(ton/m3)</t>
  </si>
  <si>
    <t>kg_ST/animal·día</t>
  </si>
  <si>
    <t>kg_ST/vacaordeñe·día</t>
  </si>
  <si>
    <t>kg_ST/UGM</t>
  </si>
  <si>
    <t>Estiércol prensado</t>
  </si>
  <si>
    <t>C/N paja de trigo:</t>
  </si>
  <si>
    <t>Humedad óptima de la mezcla:</t>
  </si>
  <si>
    <t xml:space="preserve">Recortes y virutas </t>
  </si>
  <si>
    <t>Combustible sustituido:</t>
  </si>
  <si>
    <t>Cantidad equivalente de combustible sustituido:</t>
  </si>
  <si>
    <t>Ahorros por sustitución de combustible:</t>
  </si>
  <si>
    <t>Leña</t>
  </si>
  <si>
    <t>Fuel-oil</t>
  </si>
  <si>
    <t>Gas-oil</t>
  </si>
  <si>
    <t>PCI</t>
  </si>
  <si>
    <t>Precio</t>
  </si>
  <si>
    <t>kWh/L</t>
  </si>
  <si>
    <t>USD/L</t>
  </si>
  <si>
    <t>Degradación de Sólidos Volátiles</t>
  </si>
  <si>
    <t>kg/día (base seca)</t>
  </si>
  <si>
    <t>Cotización dólar:</t>
  </si>
  <si>
    <t>UYU/USD</t>
  </si>
  <si>
    <t>Comentario 6A
Sobre la producción de digestado</t>
  </si>
  <si>
    <t>Comentario 6B
Sobre el contenido de N y P en el digestado</t>
  </si>
  <si>
    <t>Potencia del motogenerador:</t>
  </si>
  <si>
    <t>Funcionamiento del generador:</t>
  </si>
  <si>
    <t>Ingresos por venta de energía eléctrica:</t>
  </si>
  <si>
    <t>Comentario 15
Sobre la cantidad de combustible equivalente</t>
  </si>
  <si>
    <t>Comentario 23
Sobre el ahorro por sustitución de combustible</t>
  </si>
  <si>
    <t>Comentario 22
Sobre la cantidad de combustible equivalente</t>
  </si>
  <si>
    <t>Comentario 16
Sobre el ahorro de costo de combustible</t>
  </si>
  <si>
    <t>Densidad compost</t>
  </si>
  <si>
    <t>Materia orgánica compost</t>
  </si>
  <si>
    <t>N compost</t>
  </si>
  <si>
    <t>Mano de obra (maquinista para tractor y volteadora)</t>
  </si>
  <si>
    <t>Volteadora de tiro</t>
  </si>
  <si>
    <t>USD/ton BF mezcla</t>
  </si>
  <si>
    <t>lt/ton BF</t>
  </si>
  <si>
    <t>Costo hormigonado patio de acopio de residuos</t>
  </si>
  <si>
    <t>Costo compactación playa de compostaje</t>
  </si>
  <si>
    <t>USD/m2</t>
  </si>
  <si>
    <t>USD/ton BF</t>
  </si>
  <si>
    <t>Mantenimiento maquinaria</t>
  </si>
  <si>
    <t>Consumo gasoil tractor + volteadora tiro, para volteo</t>
  </si>
  <si>
    <t>Fracción vegetal a agregar para poder formar pila, relación FV:FO</t>
  </si>
  <si>
    <t>USD/Unidad</t>
  </si>
  <si>
    <t>Densidad estimada fardo redondo de paja de trigo</t>
  </si>
  <si>
    <t>C/N compost</t>
  </si>
  <si>
    <t>K2O compost (K x 1.2)</t>
  </si>
  <si>
    <t>P2O5 compost (P / 0,44)</t>
  </si>
  <si>
    <t>Nivel real de metanización (28 ºC):</t>
  </si>
  <si>
    <t>Criaderos de porcinos (engorde)</t>
  </si>
  <si>
    <t>Criaderos de porcinos (ciclo completo)</t>
  </si>
  <si>
    <t>C/N óptima de mezcla de residuos y fracción vegetal si corresponde:</t>
  </si>
  <si>
    <t>Comentario 2
Sobre la tasa de generación de residuos</t>
  </si>
  <si>
    <t>Comentario 1 
Sobre la capacidad productiva</t>
  </si>
  <si>
    <t>Comentario 3
Sobre la humedad de los residuos</t>
  </si>
  <si>
    <t>USD/m2 piso de hormigón de 15mm y paredes</t>
  </si>
  <si>
    <t>Comentario 24
Sobre acondicionamiento del residuo para inicio de compostaje</t>
  </si>
  <si>
    <t>Costo de fardo de paja de trigo REDONDO de 0,3 toneladas</t>
  </si>
  <si>
    <t>Comentario 26
Sobre el proceso de compostaje</t>
  </si>
  <si>
    <t xml:space="preserve">Comentario 27
Sobre costos de producción de compost </t>
  </si>
  <si>
    <t>Comentario 28
Sobre inversión necesaria para la producción de compost</t>
  </si>
  <si>
    <t>Comentario 29
Incremento de la materia orgánica del suelo por aplicación de compost producido anualmente</t>
  </si>
  <si>
    <t>Comentario 30
Ahorro equivalente de fertilizantes, N-P2O5-K2O</t>
  </si>
  <si>
    <r>
      <t>m</t>
    </r>
    <r>
      <rPr>
        <vertAlign val="superscript"/>
        <sz val="11"/>
        <color theme="1"/>
        <rFont val="Calibri"/>
        <family val="2"/>
        <scheme val="minor"/>
      </rPr>
      <t>2</t>
    </r>
  </si>
  <si>
    <t>kg _ST/gallina ponedora·día</t>
  </si>
  <si>
    <t>kg_ST/pollo producido</t>
  </si>
  <si>
    <t>kg_ST/m3 de aceite producido</t>
  </si>
  <si>
    <t>kg_ST/ton ave faenada</t>
  </si>
  <si>
    <t>kg_ST/m3 de vino producido</t>
  </si>
  <si>
    <t>TG: 0,075 kg BS/lt de vino</t>
  </si>
  <si>
    <t>Madres</t>
  </si>
  <si>
    <t>Animales encerrados (capacidad ocupada)</t>
  </si>
  <si>
    <t>Animales de 100kg / año</t>
  </si>
  <si>
    <t>Gallinas ponedoras / año</t>
  </si>
  <si>
    <t>m3 de vino producidos / año</t>
  </si>
  <si>
    <t>Pieles frescas procesadas / año</t>
  </si>
  <si>
    <t>m3 de aceite producidos / año</t>
  </si>
  <si>
    <t>Toneladas de ave faenada / año</t>
  </si>
  <si>
    <t>Pollos producidos / año</t>
  </si>
  <si>
    <t>m3 de leche procesada / año</t>
  </si>
  <si>
    <t>Orujo fresco. La humedad del residuo depende del manejo implementado.</t>
  </si>
  <si>
    <t>Cantidad de combustible sustituido en base a la energía equivalente.</t>
  </si>
  <si>
    <t>40</t>
  </si>
  <si>
    <t>Comentario 25
Sobre superficie necesaria para el compostaje</t>
  </si>
  <si>
    <t>http://biovalor.gub.uy/descarga/ficha-tecnica-frigorificos/</t>
  </si>
  <si>
    <t>Los resultados obtenidos son meramente orientativos y en caso de requerir resultados para un caso particular, es necesario realizar una evaluación ajustada a las características específicas de dicho emprendimiento.</t>
  </si>
  <si>
    <t>La "Calculadora Biovalor" es una herramienta que permite realizar una estimación del potencial de valorización de residuos según sector y tecnología.</t>
  </si>
  <si>
    <t>Más información sobre la tecnología aquí</t>
  </si>
  <si>
    <t xml:space="preserve">Para empresas que tributan IRAE es posible obtener beneficios fiscales presentando un proyecto de inversión en tecnologías de valorización a la COMAP. </t>
  </si>
  <si>
    <t xml:space="preserve">Para las empresas con giro industrial o agropecuario que deseen invertir en maquinaria para valorización, es posible exonerar el IVA de la inversión de maquinaria para valorización a través de este trámite.  </t>
  </si>
  <si>
    <t>Es posible vender el compost como enmienda orgánica a terceros en el marco de la resolución Nº 141 12/10/18 (MGAP/DGSA)</t>
  </si>
  <si>
    <t>Ficha técnica por sector</t>
  </si>
  <si>
    <t>Ficha en proceso</t>
  </si>
  <si>
    <r>
      <t>Cálculo generación de residuos (para multiplicar por la unidad de producción)</t>
    </r>
    <r>
      <rPr>
        <b/>
        <sz val="11"/>
        <rFont val="Calibri"/>
        <family val="2"/>
        <scheme val="minor"/>
      </rPr>
      <t xml:space="preserve"> ton BF/</t>
    </r>
    <r>
      <rPr>
        <b/>
        <sz val="11"/>
        <color theme="1"/>
        <rFont val="Calibri"/>
        <family val="2"/>
        <scheme val="minor"/>
      </rPr>
      <t>unidad de producción</t>
    </r>
  </si>
  <si>
    <t>Cantidad de combustible sustituido en base a la energía equivalente del biogás generado.</t>
  </si>
  <si>
    <t>Ahorro producido por sustitución de combustibles en base a la energía equivalente.</t>
  </si>
  <si>
    <t>C trigo</t>
  </si>
  <si>
    <t>N trigo</t>
  </si>
  <si>
    <t>Sitio de acopio (sí/no)</t>
  </si>
  <si>
    <t>Sí</t>
  </si>
  <si>
    <t>No</t>
  </si>
  <si>
    <t>Consumo gasoil tractor + pala para preparación mezcla y pilas</t>
  </si>
  <si>
    <t xml:space="preserve">Costo de urea </t>
  </si>
  <si>
    <t>USD/ton urea</t>
  </si>
  <si>
    <t>Costo de supertriple</t>
  </si>
  <si>
    <t>Costo de cloruro de K</t>
  </si>
  <si>
    <t>USD/ton supertriple</t>
  </si>
  <si>
    <t>USD/ton cloruro de K</t>
  </si>
  <si>
    <t>Se asume establecimientos con sistema pastoril, en los cuales los animales ingresan a la sala solo en los momentos de ordeñe.</t>
  </si>
  <si>
    <t>Es necesario contar con un sistema de gestión adecuado para las cenizas generadas.</t>
  </si>
  <si>
    <t>La capacidad productiva se basa en la cantidad de leche procesada, no diferenciándose los distitnos posibles productos a obtenibles.</t>
  </si>
  <si>
    <t>Se asume una orientación de engorde y terminación en sistemas confinados. Indicar la cantidad promedio anual de animales confinados.</t>
  </si>
  <si>
    <t xml:space="preserve">Se asume una orientación de ciclo completo en sistemas confinados. Indicar la cantidad promedio anual de madres para estimar la cantidad total de animales. </t>
  </si>
  <si>
    <t>Se asume un sistema de cría en piso. Indicar la cantidad anual de pollos producidos.</t>
  </si>
  <si>
    <t>Se asume un sistema de confinamiento de aves en jaulas. Indicar la cantidad promedio anual de aves ponedoras.</t>
  </si>
  <si>
    <t>Tasa de generación de residuos de 1,3 kg/m3 de leche procesada.</t>
  </si>
  <si>
    <t>Tasa de generación de residuos de 1,23 kg/m3 de leche procesada.</t>
  </si>
  <si>
    <t>Tasa de generación de residuos de 0,85 m3/m3 de leche procesada.</t>
  </si>
  <si>
    <t>Tasa de generación de residuos de 1,86 kg/animal·día en base seca, correspondiente a un promedio diario de las excretas de animales entre 25 y 100 kg confinados.</t>
  </si>
  <si>
    <t>Tasa de generación de residuos de 0,038 kg/gallina·día en base seca, con una relación 1:1 de consumo de ración:deyecciones.</t>
  </si>
  <si>
    <t>Tasa de generación de residuos de 0,006 kg/kg de pollo faenado en base seca.</t>
  </si>
  <si>
    <t>Tasa de generación de residuos de 0,0045 kg/kg de pollo faenado en base seca.</t>
  </si>
  <si>
    <t>Tasa de generación de residuos de 0,03 kg/kg de pollo faenado en base seca.</t>
  </si>
  <si>
    <t xml:space="preserve">Humedad del estiércol fresco tal como se presenta en el piso de la sala de ordeñe. La humedad final del residuo depende del manejo implementado. </t>
  </si>
  <si>
    <t xml:space="preserve">Humedad de los lodos PTE resultante del sistema de separación. La humedad final del residuo depende del manejo implementado. </t>
  </si>
  <si>
    <t>Humedad de los barros grasos resultante del sistema pasivo de desgrasado por flotación. La humedad final del residuo depende del manejo implementado.</t>
  </si>
  <si>
    <t xml:space="preserve">Humedad del estiércol fresco tal como se presenta en el piso de los corrales. La humedad final del residuo depende del manejo implementado. </t>
  </si>
  <si>
    <t>Humedad de la cama tal como se obtiene al ser retirada. La humedad final del residuo depende del manejo implementado.</t>
  </si>
  <si>
    <t>Humedad del estiércol fresco tal como se obtiene en los sistema de recolección en cinta transportadora. La humedad final del residuo depende del manejo implementado.</t>
  </si>
  <si>
    <t xml:space="preserve">Humedad de las plumas tal como se obtienen del sistema de separación. La humedad final del residuo depende del manejo implementado. </t>
  </si>
  <si>
    <t>Indicar la cantidad anual de animales faenados expresados en Unidades Ganaderas Mayores (UGM)</t>
  </si>
  <si>
    <t xml:space="preserve">Humedad de los barros grasos resultante del sistema pasivo de desgrasado por flotación. La humedad final del residuo depende del manejo implementado. </t>
  </si>
  <si>
    <t>Humedad de los sólidos de aguas verdes que se obtienen de un sistema de separación en prensa extrusora.</t>
  </si>
  <si>
    <t>Tasa de generación de residuos de 1,08 kg/pollo producido en base seca, correspondiente a la cama de entre 4 y 5 crianzas utilizando una profundidad de 15 a 20 cm.</t>
  </si>
  <si>
    <t>Tasa de generación de residuos de 6,5 kg/UGM en base seca. 
Se asume que el establecimiento recolecta y realiza el pretratamiento de aguas rojas y aguas verdes por separado.</t>
  </si>
  <si>
    <t>Tasa de generación de residuos de 2,7 kg/L de aceite producido en base seca, correspondiente añ añperujo sin descarozar.</t>
  </si>
  <si>
    <t>Humedad del alperujo tal como se obtiene del proceso de extracción de aceite. La humedad final del residuo depende del manejo implementado.</t>
  </si>
  <si>
    <t>Se asume la producción de cueros bovinos. Indicar la cantidad anual de pieles frescas procesadas.</t>
  </si>
  <si>
    <t>Tasa de generación de residuos de 5,5 kg/piel fresca procesada en base seca.
Se asume que el establecimiento realiza la separaciónd el pelo del proceso de pelambre.</t>
  </si>
  <si>
    <t xml:space="preserve">Humedad del pelo que se obtiene de los sistemas de separación del baño de pelambre. La humedad final del residuo depende del manejo implementado. </t>
  </si>
  <si>
    <t xml:space="preserve">Tasa de generación de residuos de 2,7 kg/piel fresca procesada en base seca. 
No se distingue entre recortes y virutas de cuero curtido al cromo o vegetal. </t>
  </si>
  <si>
    <t xml:space="preserve">Humedad de los recortes y virutas tal como se obtiene de los procesos de recorte y rebajado. La humedad final del residuo depende del manejo implementado. </t>
  </si>
  <si>
    <t>Se asume una zafra anual de 120 días.</t>
  </si>
  <si>
    <t>Se asume una zafra anual de 100 días.</t>
  </si>
  <si>
    <t>Tasa de generación de residuos de 0,0203 kg/L de vino producido en base seca.</t>
  </si>
  <si>
    <t xml:space="preserve">Humedad del escobajo tal como se obtiene del proceso de molienda y despalillado. La humedad final del residuo depende del manejo implementado. </t>
  </si>
  <si>
    <t>Densidad mezcla óptima</t>
  </si>
  <si>
    <t>Se asume una degradación del 40 % de los sólidos volátiles que ingresan al biodigestor.</t>
  </si>
  <si>
    <t>Se asume tarifa de la energía eléctrica para mediano consumidor (MC1).</t>
  </si>
  <si>
    <t>Cantidad de combustible sustituido en base a la energía equivalente obtenida de los residuos.</t>
  </si>
  <si>
    <t>Ahorro producido por sustitución de combustibles en base a la energía equivalente obtenida de los residuos.</t>
  </si>
  <si>
    <t xml:space="preserve">Humedad del sólido resultante de la separación del efluente bruto en prensa extrusora. La humedad final del residuo depende del manejo implementado. </t>
  </si>
  <si>
    <t>Tasa de generación de residuos de 0,87 kg/animal·día en base seca, correspondiente a un promedio diario de las excretas de animales entre 25 y 100 kg confinados.</t>
  </si>
  <si>
    <t>Tasa de generación de residuos de 7,97 kg/madre·día, que incluye el estiércol de todos los animales confinados según un perfil promedio de cada especie.</t>
  </si>
  <si>
    <r>
      <t>m</t>
    </r>
    <r>
      <rPr>
        <vertAlign val="superscript"/>
        <sz val="11"/>
        <color theme="1"/>
        <rFont val="Calibri"/>
        <family val="2"/>
        <scheme val="minor"/>
      </rPr>
      <t>3</t>
    </r>
    <r>
      <rPr>
        <sz val="11"/>
        <color theme="1"/>
        <rFont val="Calibri"/>
        <family val="2"/>
        <scheme val="minor"/>
      </rPr>
      <t>/día</t>
    </r>
  </si>
  <si>
    <t>Precio ponderado de venta de energía eléctrica:</t>
  </si>
  <si>
    <t>Humedad:</t>
  </si>
  <si>
    <t>Cantidad de residuos generada:</t>
  </si>
  <si>
    <t>Capacidad productiva:</t>
  </si>
  <si>
    <t>Corriente de residuos:</t>
  </si>
  <si>
    <t>Sector:</t>
  </si>
  <si>
    <t>Potencia equivalente (24 hs/día):</t>
  </si>
  <si>
    <t>ton/año</t>
  </si>
  <si>
    <r>
      <t>m</t>
    </r>
    <r>
      <rPr>
        <vertAlign val="superscript"/>
        <sz val="11"/>
        <color theme="1"/>
        <rFont val="Calibri"/>
        <family val="2"/>
        <scheme val="minor"/>
      </rPr>
      <t>3</t>
    </r>
    <r>
      <rPr>
        <sz val="11"/>
        <color theme="1"/>
        <rFont val="Calibri"/>
        <family val="2"/>
        <scheme val="minor"/>
      </rPr>
      <t>/año</t>
    </r>
  </si>
  <si>
    <t>Costos operativos:</t>
  </si>
  <si>
    <t>Costos de inversión:</t>
  </si>
  <si>
    <r>
      <t>m</t>
    </r>
    <r>
      <rPr>
        <vertAlign val="superscript"/>
        <sz val="11"/>
        <rFont val="Calibri"/>
        <family val="2"/>
        <scheme val="minor"/>
      </rPr>
      <t>3</t>
    </r>
    <r>
      <rPr>
        <sz val="11"/>
        <rFont val="Calibri"/>
        <family val="2"/>
        <scheme val="minor"/>
      </rPr>
      <t>/año</t>
    </r>
  </si>
  <si>
    <t>Paja de trigo para mezcla:</t>
  </si>
  <si>
    <t>Agua para regar la mezcla inicial:</t>
  </si>
  <si>
    <t>Urea (46-0-0) para mezcla:</t>
  </si>
  <si>
    <t>Superficie necesaria:</t>
  </si>
  <si>
    <t>Ahorro equivalente en N-P-K:</t>
  </si>
  <si>
    <t>http://biovalor.gub.uy/descarga/ficha-tecnica-de-residuos-tambos/</t>
  </si>
  <si>
    <t>http://biovalor.gub.uy/descarga/ficha-tecnica-de-residuos-cria-de-aves/</t>
  </si>
  <si>
    <t>http://biovalor.gub.uy/descarga/ficha-tecnica-de-residuos-engorde-a-corral/</t>
  </si>
  <si>
    <t>http://biovalor.gub.uy/descarga/ficha-tecnica-de-residuos-oleaginosa-olivos/</t>
  </si>
  <si>
    <t>http://biovalor.gub.uy/descarga/ficha-tecnica-de-residuos-curtiembres/</t>
  </si>
  <si>
    <t>http://biovalor.gub.uy/descarga/ficha-tecnica-de-residuos-por-sector-bodegas/</t>
  </si>
  <si>
    <t>kg_CO2eq/año</t>
  </si>
  <si>
    <t>Factor de emisión de la matriz de energía eléctrica:</t>
  </si>
  <si>
    <t>g_CO2eq/kWh</t>
  </si>
  <si>
    <t>Estimación reducción de emisiones</t>
  </si>
  <si>
    <t>Factor de emisión asociado al fertilizante sintético sustituido:</t>
  </si>
  <si>
    <t>g_CO2eq/kg_N</t>
  </si>
  <si>
    <t>Factor de conversión de metano por fertirriego:</t>
  </si>
  <si>
    <t>kg_N2O-N/kg_N</t>
  </si>
  <si>
    <t>Nivel de pérdidas de nitrógeno por volatilización por fertirriego:</t>
  </si>
  <si>
    <t>Potencial de calentamiento global (kg_CO2eq/kg)</t>
  </si>
  <si>
    <t>CO2</t>
  </si>
  <si>
    <t>CH4</t>
  </si>
  <si>
    <t>N2O</t>
  </si>
  <si>
    <t>Estimación de emisiones de GEI:</t>
  </si>
  <si>
    <t>Comentario 17
Sobre las emisiones de GEI</t>
  </si>
  <si>
    <t>g_CO2eq/L</t>
  </si>
  <si>
    <r>
      <t>kg</t>
    </r>
    <r>
      <rPr>
        <vertAlign val="subscript"/>
        <sz val="11"/>
        <color theme="1"/>
        <rFont val="Calibri"/>
        <family val="2"/>
        <scheme val="minor"/>
      </rPr>
      <t>CO2eq</t>
    </r>
    <r>
      <rPr>
        <sz val="11"/>
        <color theme="1"/>
        <rFont val="Calibri"/>
        <family val="2"/>
        <scheme val="minor"/>
      </rPr>
      <t>/año</t>
    </r>
  </si>
  <si>
    <t>Emisión N2O por volatilización de N en aplicación de digestado:</t>
  </si>
  <si>
    <t>Emisión CH4 por anaerobiosis en aplicación de digestado:</t>
  </si>
  <si>
    <t>Emisión CH4 por fugas en biodigestor:</t>
  </si>
  <si>
    <t>Emisión por sustitución de fertilizantes sintéticos:</t>
  </si>
  <si>
    <t>Emisión por sustitución de matriz eléctrica:</t>
  </si>
  <si>
    <t>Emisiones totales:</t>
  </si>
  <si>
    <r>
      <t>kg</t>
    </r>
    <r>
      <rPr>
        <b/>
        <vertAlign val="subscript"/>
        <sz val="11"/>
        <color theme="1"/>
        <rFont val="Calibri"/>
        <family val="2"/>
        <scheme val="minor"/>
      </rPr>
      <t>CO2eq</t>
    </r>
    <r>
      <rPr>
        <b/>
        <sz val="11"/>
        <color theme="1"/>
        <rFont val="Calibri"/>
        <family val="2"/>
        <scheme val="minor"/>
      </rPr>
      <t>/año</t>
    </r>
  </si>
  <si>
    <t>Emisión por sustitución de combustibles:</t>
  </si>
  <si>
    <t>Emisión N2O por lixiviación de N en aplicación de digestado:</t>
  </si>
  <si>
    <t>Comentario 23b
Sobre estimación de emisiones</t>
  </si>
  <si>
    <t>Se asumen las emisiones evitadas por la sustitución de combustibles.</t>
  </si>
  <si>
    <t>Factor de conversión de metano por compostaje:</t>
  </si>
  <si>
    <t>Emisión CH4 por anaerobiosis en compostaje:</t>
  </si>
  <si>
    <t>Emisión N2O por volatilización de N en compostaje:</t>
  </si>
  <si>
    <t>Emisión N2O directa en compostaje:</t>
  </si>
  <si>
    <t>Factor de emisión directa de óxido nitroso por compostaje:</t>
  </si>
  <si>
    <t>Nivel de pérdidas de nitrógeno por volatilización por compostaje:</t>
  </si>
  <si>
    <t>Emisión N2O por lixiviación en compostaje:</t>
  </si>
  <si>
    <t>Factor de conversión de metano por aplicación de compost:</t>
  </si>
  <si>
    <t>Reducción de SV en el compostaje:</t>
  </si>
  <si>
    <t>Emisión CH4 por anaerobiosis en aplicación de compost:</t>
  </si>
  <si>
    <t>Emisión N2O por volatilización de N en aplicación de compost:</t>
  </si>
  <si>
    <t>Emisión N2O por lixiviación de N en aplicación de compost:</t>
  </si>
  <si>
    <t>Nivel de pérdidas de nitrógeno por volatilización por aplicación compost:</t>
  </si>
  <si>
    <t>Nivel de pérdidas de nitrógeno por lixiviación por aplicación de compost:</t>
  </si>
  <si>
    <t>Comentario 31
Sobre las emisiones de GEI</t>
  </si>
  <si>
    <t>Comentario 11 A
Sobre la estimación de emisiones de GEI</t>
  </si>
  <si>
    <t>Estimación de emisiones netas de GEI:</t>
  </si>
  <si>
    <t>hás</t>
  </si>
  <si>
    <t xml:space="preserve">Superficie de suelo que puede ser mejorado </t>
  </si>
  <si>
    <t>Tasa de generación de residuos de 1,2 kg/animal·día en base seca, correspondiente a un tiempo medio en el corral de espera y patio de alimentación de 4 h/día.</t>
  </si>
  <si>
    <t>Tasa de generación de residuos de 1,2 kg/animal·día en base seca, correspondiente a un tiempo medio en el corral de espera y patio de alimentación de 4 h/día y 10 % de eficiencia de separación del sistema de separación.</t>
  </si>
  <si>
    <t>Biogás</t>
  </si>
  <si>
    <t>Factor de emisión de óxido nitroso por volatilización y deposición en fertirriego:</t>
  </si>
  <si>
    <t>Nivel de pérdidas de nitrógeno por lixiviación por fertirriego:</t>
  </si>
  <si>
    <t>Factor de emisión de óxido nitroso por lixiviación en fertirriego:</t>
  </si>
  <si>
    <t>Factor de emisión de óxido nitroso por volatilización y deposición en compostaje:</t>
  </si>
  <si>
    <t>Nivel de pérdidas de nitrógeno por lixiviación por compostaje:</t>
  </si>
  <si>
    <t>Factor de emisión de óxido nitroso por lixiviación en compostaje:</t>
  </si>
  <si>
    <t>Factor de emisión de óxido nitroso por volatilización y deposición en aplicación de compost:</t>
  </si>
  <si>
    <t>Factor de emisión de óxido nitroso por lixiviación en aplicación de compost:</t>
  </si>
  <si>
    <t>USD/Kwh</t>
  </si>
  <si>
    <t>Se asume biodigestor del tipo laguna cubierta, con un tiempo de retención hidráulica no menor a 30 días y un contenido de sólidos totales menor a 5 %, logrando una metanización del 75 %.</t>
  </si>
  <si>
    <t>Cantidad de energía eléctrica generada distribuida en 24 horas por día.</t>
  </si>
  <si>
    <t xml:space="preserve">La potencia del motogenerador debe ser menor a la potencia contratada del establecimiento productivo. </t>
  </si>
  <si>
    <t>Se busca maximizar la cantidad de energía que se inyecta dentro de las 4 horas del horario punta, en el que el precio de la energía es mayor.</t>
  </si>
  <si>
    <t xml:space="preserve">Es necesario contar con un consumo de energía térmica asociado al emprendimiento.
Se asume el uso del 10 % de la energía térmica generada en la calefacción del biodigestor. </t>
  </si>
  <si>
    <t>Se asume ingreso al régimen de mircogeneración (Decreto 173/010).  Se asume la cogeneración de energía térmica calefacción del biodigestor.</t>
  </si>
  <si>
    <t>Se asume que los residuos son ingresados a un horno, caldera, u otro tipo de equipo que permita su quema de forma adecuada y su aprovechamiento energético.</t>
  </si>
  <si>
    <t>Se asume biodigestor del tipo laguna cubierta, con un tiempo de retención hidráulica no menor a 30 días y un contenido de sólidos totales menor a 5 %, logrando una metanización del 75 %.
Se recomienda que la digestión anaerobia de este residuo sea realizada en conjunto con otras corrientes de residuos.</t>
  </si>
  <si>
    <t>Se asume que el contenido de nitrógeno y fósforo presente en los residuos permanece en el digestado.</t>
  </si>
  <si>
    <t xml:space="preserve">Humedad del residuo a la que ingresa al sistema de quema, luego de la deshidratación a la que eventualmente sea sometido. </t>
  </si>
  <si>
    <t xml:space="preserve">Tasa de generación de residuos de 3,4 kg/animal·día en base seca. Se asume limpieza en seco de los corrales mediante pala mecánica, una vez retirados los animales. </t>
  </si>
  <si>
    <t>Humedad del estiércol recolectado del piso del corral una vez retirados los animales. La humedad final del residuo depende del manejo implementado.</t>
  </si>
  <si>
    <t>Humedad de quema:</t>
  </si>
  <si>
    <t>Se asume una ocupación media anual de los corrales de 200 días.</t>
  </si>
  <si>
    <t>Se asume ingreso al régimen de microgeneración (Decreto 173/010).  Se asume la cogeneración de energía térmica calefacción del biodigestor.</t>
  </si>
  <si>
    <t>La capacidad productiva se basa en la cantidad de leche procesada, no diferenciándose los distintos posibles productos a obtenibles.</t>
  </si>
  <si>
    <t>Se asumen las emisiones debido a fugas del biodigestor, a la volatilización y lixiviación de nitrógeno por aplicación del digestado, y las emisiones evitadas por sustitución de la matriz eléctrica y la sustitución de fertilizantes sintéticos.</t>
  </si>
  <si>
    <t>Comentario 29a</t>
  </si>
  <si>
    <t>Digestado sólido producido:</t>
  </si>
  <si>
    <t>N / P2O5 en el digestado:</t>
  </si>
  <si>
    <t>Ahorros por combustible sustituido:</t>
  </si>
  <si>
    <t>Energía térmica generada:</t>
  </si>
  <si>
    <t>Cenizas producidas:</t>
  </si>
  <si>
    <t>Compost producido:</t>
  </si>
  <si>
    <t>Se asumen las emisiones debido a fugas del biodigestor, a la volatilización y lixiviación de nitrógeno por aplicación del digestado, y las emisiones evitadas por sustitución de combustibles y la sustitución de fertilizantes sintéticos.</t>
  </si>
  <si>
    <t>Se asumen las emisones directas de CH4 y N2O en el proceso de compostaje, las emisiones indirectas por volatilización y lixiviación en el compostaje y en la aplicación de compost, y las emisiones evitadas por sustitución de fertilizantes.</t>
  </si>
  <si>
    <t>Materiales a adicionar para optimizar el inicio del proceso.</t>
  </si>
  <si>
    <t>Supuestos: sitio de acopio de residuos con capacidad 10 días de generación, playa de compostaje para proceso de 10 semanas, laguna del sistema gestión lixiviados preexistente.</t>
  </si>
  <si>
    <t>Acondicionamiento del sitio de acopio de residuos y playa de compostaje, compra de volteadora.</t>
  </si>
  <si>
    <t>Mano de obra, combustible para tractor, mantenimiento maquinaria, fardos/Urea para mezclar con residuos.</t>
  </si>
  <si>
    <t>Incrementan 3% su materia orgánica post aplicación del compost producido.</t>
  </si>
  <si>
    <r>
      <t>N / P</t>
    </r>
    <r>
      <rPr>
        <vertAlign val="subscript"/>
        <sz val="11"/>
        <color rgb="FFFF0000"/>
        <rFont val="Calibri"/>
        <family val="2"/>
        <scheme val="minor"/>
      </rPr>
      <t>2</t>
    </r>
    <r>
      <rPr>
        <sz val="11"/>
        <color rgb="FFFF0000"/>
        <rFont val="Calibri"/>
        <family val="2"/>
        <scheme val="minor"/>
      </rPr>
      <t>O</t>
    </r>
    <r>
      <rPr>
        <vertAlign val="subscript"/>
        <sz val="11"/>
        <color rgb="FFFF0000"/>
        <rFont val="Calibri"/>
        <family val="2"/>
        <scheme val="minor"/>
      </rPr>
      <t>5</t>
    </r>
    <r>
      <rPr>
        <sz val="11"/>
        <color rgb="FFFF0000"/>
        <rFont val="Calibri"/>
        <family val="2"/>
        <scheme val="minor"/>
      </rPr>
      <t xml:space="preserve"> / K</t>
    </r>
    <r>
      <rPr>
        <vertAlign val="subscript"/>
        <sz val="11"/>
        <color rgb="FFFF0000"/>
        <rFont val="Calibri"/>
        <family val="2"/>
        <scheme val="minor"/>
      </rPr>
      <t>2</t>
    </r>
    <r>
      <rPr>
        <sz val="11"/>
        <color rgb="FFFF0000"/>
        <rFont val="Calibri"/>
        <family val="2"/>
        <scheme val="minor"/>
      </rPr>
      <t>O en el compost producido:</t>
    </r>
  </si>
  <si>
    <r>
      <t>Compost: 1,4 % de N; 1,2 % de P</t>
    </r>
    <r>
      <rPr>
        <vertAlign val="subscript"/>
        <sz val="11"/>
        <color rgb="FFFF0000"/>
        <rFont val="Calibri"/>
        <family val="2"/>
        <scheme val="minor"/>
      </rPr>
      <t>2</t>
    </r>
    <r>
      <rPr>
        <sz val="11"/>
        <color rgb="FFFF0000"/>
        <rFont val="Calibri"/>
        <family val="2"/>
        <scheme val="minor"/>
      </rPr>
      <t>O</t>
    </r>
    <r>
      <rPr>
        <vertAlign val="subscript"/>
        <sz val="11"/>
        <color rgb="FFFF0000"/>
        <rFont val="Calibri"/>
        <family val="2"/>
        <scheme val="minor"/>
      </rPr>
      <t>5</t>
    </r>
    <r>
      <rPr>
        <sz val="11"/>
        <color rgb="FFFF0000"/>
        <rFont val="Calibri"/>
        <family val="2"/>
        <scheme val="minor"/>
      </rPr>
      <t>; 0,35 % de K</t>
    </r>
    <r>
      <rPr>
        <vertAlign val="subscript"/>
        <sz val="11"/>
        <color rgb="FFFF0000"/>
        <rFont val="Calibri"/>
        <family val="2"/>
        <scheme val="minor"/>
      </rPr>
      <t>2</t>
    </r>
    <r>
      <rPr>
        <sz val="11"/>
        <color rgb="FFFF0000"/>
        <rFont val="Calibri"/>
        <family val="2"/>
        <scheme val="minor"/>
      </rPr>
      <t>O.</t>
    </r>
  </si>
  <si>
    <r>
      <rPr>
        <sz val="11"/>
        <color rgb="FFFF0000"/>
        <rFont val="Calibri"/>
        <family val="2"/>
        <scheme val="minor"/>
      </rPr>
      <t>Propuesta para columna AK:</t>
    </r>
    <r>
      <rPr>
        <sz val="11"/>
        <color theme="1"/>
        <rFont val="Calibri"/>
        <family val="2"/>
        <scheme val="minor"/>
      </rPr>
      <t xml:space="preserve"> Emisiones directas e indirectas del proceso de compostaje, de su aplicación al suelo y evitadas por sustitución de fertilizantes</t>
    </r>
  </si>
  <si>
    <t>Considerando acopio de residuos para 10 días de generación, playa para compostaje de 10 semanas, laguna preexistente.</t>
  </si>
  <si>
    <t xml:space="preserve">Proceso a cielo abierto, 2 pilas triangulares (50x2x1,2m)/calle, con tractor y volteadora de tiro. </t>
  </si>
  <si>
    <t>El N-P-K del compost producido aplicado al suelo sustituye al que era aportado por fertilizantes inorgánicos.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</si>
</sst>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_);_(* \(#,##0\);_(* &quot;-&quot;_);_(@_)"/>
    <numFmt numFmtId="165" formatCode="_(* #,##0.00_);_(* \(#,##0.00\);_(* &quot;-&quot;??_);_(@_)"/>
    <numFmt numFmtId="166" formatCode="0.0"/>
    <numFmt numFmtId="167" formatCode="0.000"/>
    <numFmt numFmtId="168" formatCode="0.0%"/>
    <numFmt numFmtId="169" formatCode="_ * #,##0.00_ ;_ * \-#,##0.00_ ;_ * &quot;-&quot;??_ ;_ @_ "/>
    <numFmt numFmtId="170" formatCode="0.0000000"/>
    <numFmt numFmtId="171" formatCode="0.0000"/>
    <numFmt numFmtId="172" formatCode="#,##0.0"/>
    <numFmt numFmtId="173" formatCode="_ [$€]\ * #,##0.00_ ;_ [$€]\ * \-#,##0.00_ ;_ [$€]\ * &quot;-&quot;??_ ;_ @_ "/>
    <numFmt numFmtId="174" formatCode="#,##0.00000000000000000000000"/>
    <numFmt numFmtId="175" formatCode="0.00000000000000000"/>
    <numFmt numFmtId="176" formatCode="0.000000000000000000"/>
    <numFmt numFmtId="177" formatCode="0.00000000000000000000"/>
    <numFmt numFmtId="178" formatCode="#,##0.00000000000000000000000000000000000000000000000000"/>
    <numFmt numFmtId="179" formatCode="0.0000000000000000000000000000000"/>
  </numFmts>
  <fonts count="33" x14ac:knownFonts="1">
    <font>
      <sz val="11"/>
      <color theme="1"/>
      <name val="Calibri"/>
      <family val="2"/>
      <scheme val="minor"/>
    </font>
    <font>
      <b/>
      <sz val="11"/>
      <color theme="1"/>
      <name val="Calibri"/>
      <family val="2"/>
      <scheme val="minor"/>
    </font>
    <font>
      <sz val="11"/>
      <name val="Calibri"/>
      <family val="2"/>
      <scheme val="minor"/>
    </font>
    <font>
      <b/>
      <sz val="11"/>
      <color theme="0" tint="-0.34998626667073579"/>
      <name val="Calibri"/>
      <family val="2"/>
      <scheme val="minor"/>
    </font>
    <font>
      <sz val="11"/>
      <color theme="0" tint="-0.34998626667073579"/>
      <name val="Calibri"/>
      <family val="2"/>
      <scheme val="minor"/>
    </font>
    <font>
      <b/>
      <sz val="14"/>
      <color theme="1"/>
      <name val="Calibri"/>
      <family val="2"/>
      <scheme val="minor"/>
    </font>
    <font>
      <sz val="10"/>
      <color indexed="8"/>
      <name val="Calibri"/>
      <family val="2"/>
    </font>
    <font>
      <sz val="11"/>
      <color theme="1"/>
      <name val="Calibri"/>
      <family val="2"/>
      <scheme val="minor"/>
    </font>
    <font>
      <b/>
      <sz val="11"/>
      <color indexed="8"/>
      <name val="Calibri"/>
      <family val="2"/>
    </font>
    <font>
      <sz val="10"/>
      <name val="Arial"/>
      <family val="2"/>
    </font>
    <font>
      <sz val="11"/>
      <color indexed="36"/>
      <name val="Calibri"/>
      <family val="2"/>
    </font>
    <font>
      <b/>
      <sz val="16"/>
      <color theme="1"/>
      <name val="Calibri"/>
      <family val="2"/>
      <scheme val="minor"/>
    </font>
    <font>
      <sz val="8"/>
      <color theme="1"/>
      <name val="Calibri"/>
      <family val="2"/>
      <scheme val="minor"/>
    </font>
    <font>
      <sz val="8"/>
      <name val="Calibri"/>
      <family val="2"/>
      <scheme val="minor"/>
    </font>
    <font>
      <sz val="11"/>
      <color theme="6" tint="-0.499984740745262"/>
      <name val="Calibri"/>
      <family val="2"/>
      <scheme val="minor"/>
    </font>
    <font>
      <sz val="11"/>
      <color rgb="FF0070C0"/>
      <name val="Calibri"/>
      <family val="2"/>
      <scheme val="minor"/>
    </font>
    <font>
      <sz val="11"/>
      <color theme="1"/>
      <name val="Calibri"/>
      <family val="2"/>
    </font>
    <font>
      <sz val="11"/>
      <name val="Calibri"/>
      <family val="2"/>
    </font>
    <font>
      <vertAlign val="superscript"/>
      <sz val="11"/>
      <color theme="1"/>
      <name val="Calibri"/>
      <family val="2"/>
      <scheme val="minor"/>
    </font>
    <font>
      <vertAlign val="superscript"/>
      <sz val="11"/>
      <name val="Calibri"/>
      <family val="2"/>
      <scheme val="minor"/>
    </font>
    <font>
      <sz val="9"/>
      <color indexed="81"/>
      <name val="Tahoma"/>
      <family val="2"/>
    </font>
    <font>
      <b/>
      <sz val="9"/>
      <color indexed="81"/>
      <name val="Tahoma"/>
      <family val="2"/>
    </font>
    <font>
      <u/>
      <sz val="11"/>
      <color theme="10"/>
      <name val="Calibri"/>
      <family val="2"/>
      <scheme val="minor"/>
    </font>
    <font>
      <b/>
      <sz val="11"/>
      <name val="Calibri"/>
      <family val="2"/>
      <scheme val="minor"/>
    </font>
    <font>
      <b/>
      <sz val="11"/>
      <color theme="0"/>
      <name val="Calibri"/>
      <family val="2"/>
      <scheme val="minor"/>
    </font>
    <font>
      <sz val="10"/>
      <name val="Courier"/>
      <family val="3"/>
    </font>
    <font>
      <sz val="11"/>
      <color rgb="FFFF0000"/>
      <name val="Calibri"/>
      <family val="2"/>
      <scheme val="minor"/>
    </font>
    <font>
      <b/>
      <sz val="11"/>
      <color rgb="FFFF0000"/>
      <name val="Calibri"/>
      <family val="2"/>
      <scheme val="minor"/>
    </font>
    <font>
      <sz val="11"/>
      <name val="Arial"/>
      <family val="2"/>
    </font>
    <font>
      <sz val="8"/>
      <color rgb="FFFF0000"/>
      <name val="Calibri"/>
      <family val="2"/>
      <scheme val="minor"/>
    </font>
    <font>
      <vertAlign val="subscript"/>
      <sz val="11"/>
      <color theme="1"/>
      <name val="Calibri"/>
      <family val="2"/>
      <scheme val="minor"/>
    </font>
    <font>
      <b/>
      <vertAlign val="subscript"/>
      <sz val="11"/>
      <color theme="1"/>
      <name val="Calibri"/>
      <family val="2"/>
      <scheme val="minor"/>
    </font>
    <font>
      <vertAlign val="subscript"/>
      <sz val="11"/>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rgb="FFFFFF99"/>
        <bgColor indexed="64"/>
      </patternFill>
    </fill>
    <fill>
      <patternFill patternType="solid">
        <fgColor theme="7"/>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theme="8" tint="0.79998168889431442"/>
        <bgColor indexed="64"/>
      </patternFill>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indexed="64"/>
      </bottom>
      <diagonal/>
    </border>
    <border>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indexed="64"/>
      </bottom>
      <diagonal/>
    </border>
    <border>
      <left style="thin">
        <color indexed="64"/>
      </left>
      <right style="thin">
        <color indexed="64"/>
      </right>
      <top/>
      <bottom style="thin">
        <color theme="0" tint="-0.34998626667073579"/>
      </bottom>
      <diagonal/>
    </border>
  </borders>
  <cellStyleXfs count="24">
    <xf numFmtId="0" fontId="0" fillId="0" borderId="0"/>
    <xf numFmtId="9" fontId="7" fillId="0" borderId="0" applyFont="0" applyFill="0" applyBorder="0" applyAlignment="0" applyProtection="0"/>
    <xf numFmtId="169" fontId="9" fillId="0" borderId="0" applyFont="0" applyFill="0" applyBorder="0" applyAlignment="0" applyProtection="0"/>
    <xf numFmtId="0" fontId="9" fillId="0" borderId="0"/>
    <xf numFmtId="0" fontId="22" fillId="0" borderId="0" applyNumberFormat="0" applyFill="0" applyBorder="0" applyAlignment="0" applyProtection="0"/>
    <xf numFmtId="165" fontId="7" fillId="0" borderId="0" applyFont="0" applyFill="0" applyBorder="0" applyAlignment="0" applyProtection="0"/>
    <xf numFmtId="173" fontId="9" fillId="0" borderId="0" applyFont="0" applyFill="0" applyBorder="0" applyAlignment="0" applyProtection="0"/>
    <xf numFmtId="0" fontId="9" fillId="0" borderId="0"/>
    <xf numFmtId="169" fontId="9" fillId="0" borderId="0" applyFont="0" applyFill="0" applyBorder="0" applyAlignment="0" applyProtection="0"/>
    <xf numFmtId="0" fontId="9" fillId="0" borderId="0"/>
    <xf numFmtId="0" fontId="25" fillId="0" borderId="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cellStyleXfs>
  <cellXfs count="489">
    <xf numFmtId="0" fontId="0" fillId="0" borderId="0" xfId="0"/>
    <xf numFmtId="0" fontId="0" fillId="0" borderId="10" xfId="0" applyFill="1" applyBorder="1" applyAlignment="1">
      <alignment horizontal="left"/>
    </xf>
    <xf numFmtId="0" fontId="1" fillId="0" borderId="0" xfId="0" applyFont="1"/>
    <xf numFmtId="49" fontId="0" fillId="2" borderId="0" xfId="0" applyNumberFormat="1" applyFill="1"/>
    <xf numFmtId="49" fontId="1" fillId="2" borderId="3" xfId="0" applyNumberFormat="1" applyFont="1" applyFill="1" applyBorder="1" applyAlignment="1">
      <alignment horizontal="left"/>
    </xf>
    <xf numFmtId="49" fontId="0" fillId="2" borderId="4" xfId="0" applyNumberFormat="1" applyFill="1" applyBorder="1" applyAlignment="1">
      <alignment horizontal="left" vertical="center"/>
    </xf>
    <xf numFmtId="49" fontId="0" fillId="2" borderId="5" xfId="0" applyNumberFormat="1" applyFill="1" applyBorder="1" applyAlignment="1">
      <alignment horizontal="left" vertical="center"/>
    </xf>
    <xf numFmtId="49" fontId="0" fillId="2" borderId="0" xfId="0" applyNumberFormat="1" applyFill="1" applyBorder="1" applyAlignment="1">
      <alignment horizontal="left" vertical="center"/>
    </xf>
    <xf numFmtId="0" fontId="0" fillId="2" borderId="0" xfId="0" applyFill="1"/>
    <xf numFmtId="0" fontId="0" fillId="2" borderId="5" xfId="0" applyFill="1" applyBorder="1" applyAlignment="1">
      <alignment horizontal="left" vertical="center"/>
    </xf>
    <xf numFmtId="0" fontId="0" fillId="2" borderId="0" xfId="0" applyFill="1" applyBorder="1" applyAlignment="1">
      <alignment horizontal="left" vertical="center"/>
    </xf>
    <xf numFmtId="0" fontId="0" fillId="2" borderId="6" xfId="0" applyFill="1" applyBorder="1" applyAlignment="1">
      <alignment horizontal="left" vertical="center"/>
    </xf>
    <xf numFmtId="2" fontId="0" fillId="2" borderId="0" xfId="0" applyNumberFormat="1" applyFill="1"/>
    <xf numFmtId="49" fontId="0" fillId="2" borderId="0" xfId="0" applyNumberFormat="1" applyFill="1" applyBorder="1"/>
    <xf numFmtId="0" fontId="0" fillId="2" borderId="0" xfId="0" applyFill="1" applyBorder="1"/>
    <xf numFmtId="0" fontId="0" fillId="0" borderId="0" xfId="0" applyProtection="1">
      <protection locked="0"/>
    </xf>
    <xf numFmtId="0" fontId="0" fillId="0" borderId="0" xfId="0" applyAlignment="1">
      <alignment vertical="center"/>
    </xf>
    <xf numFmtId="0" fontId="3" fillId="0" borderId="2" xfId="0" applyFont="1" applyBorder="1" applyAlignment="1">
      <alignment horizontal="left" vertical="center" wrapText="1"/>
    </xf>
    <xf numFmtId="0" fontId="1" fillId="0" borderId="14" xfId="0" applyFont="1" applyBorder="1" applyAlignment="1">
      <alignment horizontal="center" vertical="center" wrapText="1"/>
    </xf>
    <xf numFmtId="0" fontId="0" fillId="0" borderId="0" xfId="0" applyAlignment="1">
      <alignment wrapText="1"/>
    </xf>
    <xf numFmtId="0" fontId="0" fillId="0" borderId="0" xfId="0" applyAlignment="1">
      <alignment horizontal="center"/>
    </xf>
    <xf numFmtId="1" fontId="0" fillId="0" borderId="0" xfId="0" applyNumberFormat="1" applyFill="1" applyBorder="1" applyAlignment="1">
      <alignment horizontal="center"/>
    </xf>
    <xf numFmtId="3" fontId="0" fillId="0" borderId="0" xfId="0" applyNumberFormat="1"/>
    <xf numFmtId="0" fontId="0" fillId="0" borderId="0" xfId="0"/>
    <xf numFmtId="0" fontId="0" fillId="0" borderId="0" xfId="0" applyBorder="1"/>
    <xf numFmtId="166" fontId="0" fillId="0" borderId="0" xfId="0" applyNumberFormat="1"/>
    <xf numFmtId="1" fontId="0" fillId="0" borderId="0" xfId="0" applyNumberFormat="1"/>
    <xf numFmtId="0" fontId="0" fillId="0" borderId="0" xfId="0" applyAlignment="1"/>
    <xf numFmtId="0" fontId="0" fillId="0" borderId="0" xfId="0" applyFill="1"/>
    <xf numFmtId="0" fontId="1" fillId="0" borderId="3" xfId="0" applyFont="1" applyBorder="1" applyAlignment="1">
      <alignment horizontal="center" vertical="center" wrapText="1"/>
    </xf>
    <xf numFmtId="0" fontId="0" fillId="0" borderId="0" xfId="0" applyFill="1" applyAlignment="1">
      <alignment wrapText="1"/>
    </xf>
    <xf numFmtId="0" fontId="0" fillId="2" borderId="12" xfId="0" applyFill="1" applyBorder="1" applyAlignment="1">
      <alignment horizontal="left" vertical="center"/>
    </xf>
    <xf numFmtId="0" fontId="2" fillId="0" borderId="0" xfId="0" applyFont="1" applyFill="1" applyBorder="1" applyAlignment="1">
      <alignment horizontal="left"/>
    </xf>
    <xf numFmtId="3" fontId="0" fillId="0" borderId="0" xfId="0" applyNumberFormat="1" applyProtection="1">
      <protection locked="0"/>
    </xf>
    <xf numFmtId="0" fontId="6" fillId="0" borderId="0" xfId="0" applyFont="1" applyFill="1" applyBorder="1"/>
    <xf numFmtId="0" fontId="6" fillId="0" borderId="0" xfId="0" applyFont="1" applyFill="1" applyBorder="1" applyAlignment="1"/>
    <xf numFmtId="168" fontId="0" fillId="0" borderId="0" xfId="0" applyNumberFormat="1"/>
    <xf numFmtId="0" fontId="11" fillId="8" borderId="14" xfId="0" applyFont="1" applyFill="1" applyBorder="1" applyAlignment="1"/>
    <xf numFmtId="0" fontId="11" fillId="8" borderId="2" xfId="0" applyFont="1" applyFill="1" applyBorder="1" applyAlignment="1"/>
    <xf numFmtId="49" fontId="0" fillId="2" borderId="9" xfId="0" applyNumberFormat="1" applyFill="1" applyBorder="1" applyAlignment="1">
      <alignment horizontal="left" vertical="center"/>
    </xf>
    <xf numFmtId="49" fontId="0" fillId="2" borderId="10" xfId="0" applyNumberFormat="1"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3" xfId="0" applyFill="1" applyBorder="1"/>
    <xf numFmtId="0" fontId="0" fillId="0" borderId="0" xfId="0" applyBorder="1" applyProtection="1">
      <protection locked="0"/>
    </xf>
    <xf numFmtId="0" fontId="14" fillId="0" borderId="0" xfId="0" applyFont="1"/>
    <xf numFmtId="0" fontId="0" fillId="0" borderId="0" xfId="0" applyFill="1" applyBorder="1" applyAlignment="1">
      <alignment horizontal="center"/>
    </xf>
    <xf numFmtId="0" fontId="0" fillId="0" borderId="0" xfId="0" applyFill="1" applyBorder="1"/>
    <xf numFmtId="2" fontId="0" fillId="0" borderId="0" xfId="0" applyNumberFormat="1" applyFill="1" applyBorder="1" applyAlignment="1">
      <alignment horizontal="center"/>
    </xf>
    <xf numFmtId="166" fontId="0" fillId="0" borderId="0" xfId="0" applyNumberFormat="1" applyFill="1" applyBorder="1" applyAlignment="1">
      <alignment wrapText="1"/>
    </xf>
    <xf numFmtId="9" fontId="0" fillId="0" borderId="0" xfId="1" applyFont="1" applyFill="1" applyBorder="1" applyAlignment="1">
      <alignment horizontal="center"/>
    </xf>
    <xf numFmtId="4" fontId="0" fillId="0" borderId="0" xfId="0" applyNumberFormat="1" applyFill="1" applyBorder="1" applyAlignment="1"/>
    <xf numFmtId="0" fontId="1" fillId="0" borderId="0" xfId="0" applyFont="1" applyFill="1" applyBorder="1" applyAlignment="1">
      <alignment horizontal="left"/>
    </xf>
    <xf numFmtId="0" fontId="0" fillId="0" borderId="0" xfId="0" applyFill="1" applyBorder="1" applyAlignment="1">
      <alignment horizontal="left"/>
    </xf>
    <xf numFmtId="9" fontId="0" fillId="0" borderId="0" xfId="0" applyNumberFormat="1" applyFill="1" applyBorder="1" applyAlignment="1">
      <alignment horizontal="center"/>
    </xf>
    <xf numFmtId="0" fontId="8" fillId="0" borderId="0" xfId="0" applyFont="1" applyFill="1" applyBorder="1"/>
    <xf numFmtId="3" fontId="0" fillId="0" borderId="0" xfId="0" applyNumberFormat="1" applyFill="1" applyBorder="1"/>
    <xf numFmtId="3" fontId="0" fillId="0" borderId="0" xfId="0" applyNumberFormat="1" applyFill="1" applyBorder="1" applyAlignment="1">
      <alignment horizontal="center"/>
    </xf>
    <xf numFmtId="3" fontId="10" fillId="0" borderId="0" xfId="0" applyNumberFormat="1" applyFont="1" applyFill="1" applyBorder="1" applyAlignment="1">
      <alignment horizontal="center"/>
    </xf>
    <xf numFmtId="166" fontId="0" fillId="0" borderId="0" xfId="0" applyNumberFormat="1" applyProtection="1">
      <protection locked="0"/>
    </xf>
    <xf numFmtId="166" fontId="15" fillId="0" borderId="0" xfId="0" applyNumberFormat="1" applyFont="1"/>
    <xf numFmtId="170" fontId="0" fillId="0" borderId="0" xfId="0" applyNumberFormat="1"/>
    <xf numFmtId="0" fontId="0" fillId="0" borderId="8" xfId="0" applyFill="1" applyBorder="1" applyAlignment="1">
      <alignment horizontal="left"/>
    </xf>
    <xf numFmtId="0" fontId="0" fillId="0" borderId="12" xfId="0" applyFill="1" applyBorder="1" applyAlignment="1">
      <alignment horizontal="left"/>
    </xf>
    <xf numFmtId="166" fontId="0" fillId="0" borderId="0" xfId="0" applyNumberFormat="1" applyFill="1" applyProtection="1">
      <protection locked="0"/>
    </xf>
    <xf numFmtId="1" fontId="0" fillId="0" borderId="0" xfId="0" applyNumberFormat="1" applyFill="1"/>
    <xf numFmtId="0" fontId="2" fillId="0" borderId="0" xfId="0" applyFont="1" applyFill="1"/>
    <xf numFmtId="49" fontId="1" fillId="0" borderId="0" xfId="0" applyNumberFormat="1" applyFont="1" applyFill="1" applyBorder="1" applyAlignment="1">
      <alignment horizontal="left"/>
    </xf>
    <xf numFmtId="0" fontId="0" fillId="0" borderId="0" xfId="0" applyFont="1" applyAlignment="1"/>
    <xf numFmtId="0" fontId="0" fillId="2" borderId="0" xfId="0" applyFill="1" applyBorder="1" applyAlignment="1">
      <alignment horizontal="left" vertical="center" wrapText="1"/>
    </xf>
    <xf numFmtId="49" fontId="0" fillId="2" borderId="0" xfId="0" applyNumberFormat="1" applyFill="1" applyBorder="1" applyAlignment="1">
      <alignment horizontal="left" vertical="center" wrapText="1"/>
    </xf>
    <xf numFmtId="0" fontId="11" fillId="0" borderId="0" xfId="0" applyFont="1" applyAlignment="1"/>
    <xf numFmtId="0" fontId="11" fillId="7" borderId="3" xfId="0" applyFont="1" applyFill="1" applyBorder="1" applyAlignment="1"/>
    <xf numFmtId="0" fontId="11" fillId="4" borderId="14" xfId="0" applyFont="1" applyFill="1" applyBorder="1" applyAlignment="1"/>
    <xf numFmtId="0" fontId="11" fillId="5" borderId="14" xfId="0" applyFont="1" applyFill="1" applyBorder="1" applyAlignment="1"/>
    <xf numFmtId="0" fontId="11" fillId="6" borderId="14" xfId="0" applyFont="1" applyFill="1" applyBorder="1" applyAlignment="1"/>
    <xf numFmtId="0" fontId="11" fillId="6" borderId="2" xfId="0" applyFont="1" applyFill="1" applyBorder="1" applyAlignment="1"/>
    <xf numFmtId="0" fontId="0" fillId="0" borderId="0" xfId="0" applyBorder="1" applyAlignment="1"/>
    <xf numFmtId="49" fontId="0" fillId="2" borderId="19" xfId="0" applyNumberFormat="1" applyFill="1" applyBorder="1" applyAlignment="1">
      <alignment horizontal="left" vertical="top" wrapText="1"/>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0" fillId="0" borderId="0" xfId="0" applyAlignment="1">
      <alignment horizontal="left" vertical="top" wrapText="1"/>
    </xf>
    <xf numFmtId="49" fontId="0" fillId="2" borderId="0" xfId="0" applyNumberFormat="1" applyFill="1" applyAlignment="1">
      <alignment horizontal="left" vertical="top" wrapText="1"/>
    </xf>
    <xf numFmtId="1" fontId="0" fillId="0" borderId="0" xfId="1" applyNumberFormat="1" applyFont="1" applyAlignment="1" applyProtection="1">
      <alignment horizontal="left" vertical="top" wrapText="1"/>
      <protection locked="0"/>
    </xf>
    <xf numFmtId="49" fontId="0" fillId="2" borderId="0" xfId="0" applyNumberFormat="1" applyFill="1" applyBorder="1" applyAlignment="1">
      <alignment horizontal="left" vertical="top" wrapText="1"/>
    </xf>
    <xf numFmtId="49" fontId="1" fillId="2" borderId="1" xfId="0" applyNumberFormat="1" applyFont="1" applyFill="1" applyBorder="1" applyAlignment="1">
      <alignment horizontal="left" vertical="top" wrapText="1"/>
    </xf>
    <xf numFmtId="49" fontId="1" fillId="2" borderId="2" xfId="0" applyNumberFormat="1" applyFont="1" applyFill="1" applyBorder="1" applyAlignment="1">
      <alignment horizontal="left" vertical="top" wrapText="1"/>
    </xf>
    <xf numFmtId="9" fontId="0" fillId="0" borderId="0" xfId="1" applyFont="1" applyAlignment="1" applyProtection="1">
      <alignment horizontal="left" vertical="top" wrapText="1"/>
      <protection locked="0"/>
    </xf>
    <xf numFmtId="1" fontId="0" fillId="0" borderId="0" xfId="0" applyNumberFormat="1" applyAlignment="1">
      <alignment horizontal="left" vertical="top" wrapText="1"/>
    </xf>
    <xf numFmtId="0" fontId="0" fillId="2" borderId="16" xfId="0" applyFill="1" applyBorder="1" applyAlignment="1">
      <alignment horizontal="left" vertical="top" wrapText="1"/>
    </xf>
    <xf numFmtId="0" fontId="0" fillId="3" borderId="17" xfId="0" applyFill="1" applyBorder="1" applyAlignment="1" applyProtection="1">
      <alignment horizontal="left" vertical="top" wrapText="1"/>
      <protection locked="0"/>
    </xf>
    <xf numFmtId="0" fontId="0" fillId="2" borderId="17" xfId="0" applyFill="1" applyBorder="1" applyAlignment="1">
      <alignment horizontal="left" vertical="top" wrapText="1"/>
    </xf>
    <xf numFmtId="0" fontId="0" fillId="2" borderId="19" xfId="0" applyFill="1" applyBorder="1" applyAlignment="1">
      <alignment horizontal="left" vertical="top" wrapText="1"/>
    </xf>
    <xf numFmtId="0" fontId="0" fillId="3" borderId="0" xfId="0" applyFill="1" applyBorder="1" applyAlignment="1" applyProtection="1">
      <alignment horizontal="left" vertical="top" wrapText="1"/>
      <protection locked="0"/>
    </xf>
    <xf numFmtId="0" fontId="2" fillId="2" borderId="0" xfId="0" applyFont="1" applyFill="1" applyBorder="1" applyAlignment="1">
      <alignment horizontal="left" vertical="top" wrapText="1"/>
    </xf>
    <xf numFmtId="0" fontId="0" fillId="2" borderId="19" xfId="0" applyFont="1" applyFill="1" applyBorder="1" applyAlignment="1">
      <alignment horizontal="left" vertical="top" wrapText="1"/>
    </xf>
    <xf numFmtId="1" fontId="0" fillId="2" borderId="0" xfId="0" applyNumberFormat="1" applyFill="1" applyAlignment="1">
      <alignment horizontal="left" vertical="top" wrapText="1"/>
    </xf>
    <xf numFmtId="49" fontId="0" fillId="0" borderId="0" xfId="0" applyNumberFormat="1" applyFill="1" applyAlignment="1">
      <alignment horizontal="left" vertical="top" wrapText="1"/>
    </xf>
    <xf numFmtId="2" fontId="0" fillId="2" borderId="0" xfId="0" applyNumberFormat="1" applyFill="1" applyBorder="1" applyAlignment="1">
      <alignment horizontal="left" vertical="top" wrapText="1"/>
    </xf>
    <xf numFmtId="0" fontId="15" fillId="0" borderId="0" xfId="0" applyFont="1" applyAlignment="1">
      <alignment horizontal="left" vertical="top" wrapText="1"/>
    </xf>
    <xf numFmtId="49" fontId="0" fillId="0" borderId="0" xfId="0" applyNumberFormat="1" applyAlignment="1">
      <alignment horizontal="left" vertical="top" wrapText="1"/>
    </xf>
    <xf numFmtId="3" fontId="0" fillId="3" borderId="0" xfId="0" applyNumberFormat="1" applyFill="1" applyBorder="1" applyAlignment="1" applyProtection="1">
      <alignment horizontal="right" vertical="top" wrapText="1"/>
      <protection locked="0"/>
    </xf>
    <xf numFmtId="49" fontId="0" fillId="2" borderId="0" xfId="0" applyNumberFormat="1" applyFill="1" applyBorder="1" applyAlignment="1">
      <alignment horizontal="right" vertical="top" wrapText="1"/>
    </xf>
    <xf numFmtId="3" fontId="0" fillId="2" borderId="0" xfId="0" applyNumberFormat="1" applyFill="1" applyBorder="1" applyAlignment="1">
      <alignment horizontal="right" vertical="top" wrapText="1"/>
    </xf>
    <xf numFmtId="0" fontId="0" fillId="2" borderId="19" xfId="0" applyFill="1" applyBorder="1" applyAlignment="1">
      <alignment horizontal="left" vertical="center" wrapText="1"/>
    </xf>
    <xf numFmtId="3" fontId="0" fillId="2" borderId="0" xfId="0" applyNumberFormat="1" applyFill="1" applyBorder="1" applyAlignment="1">
      <alignment horizontal="right" vertical="center" wrapText="1"/>
    </xf>
    <xf numFmtId="0" fontId="2" fillId="2" borderId="0" xfId="0" applyFont="1" applyFill="1" applyBorder="1" applyAlignment="1">
      <alignment horizontal="left" vertical="center" wrapText="1"/>
    </xf>
    <xf numFmtId="49" fontId="0" fillId="2" borderId="7" xfId="0" applyNumberFormat="1" applyFill="1" applyBorder="1" applyAlignment="1">
      <alignment horizontal="left" vertical="center"/>
    </xf>
    <xf numFmtId="49" fontId="0" fillId="2" borderId="8" xfId="0" applyNumberFormat="1" applyFill="1" applyBorder="1"/>
    <xf numFmtId="0" fontId="0" fillId="0" borderId="0" xfId="0" applyBorder="1" applyAlignment="1">
      <alignment wrapText="1"/>
    </xf>
    <xf numFmtId="0" fontId="0" fillId="2" borderId="0" xfId="0" applyFill="1" applyAlignment="1">
      <alignment horizontal="left" vertical="top" wrapText="1"/>
    </xf>
    <xf numFmtId="49" fontId="0" fillId="2" borderId="0" xfId="0" applyNumberFormat="1" applyFill="1" applyAlignment="1">
      <alignment horizontal="left" vertical="top" wrapText="1"/>
    </xf>
    <xf numFmtId="0" fontId="22" fillId="0" borderId="0" xfId="4"/>
    <xf numFmtId="49" fontId="22" fillId="2" borderId="0" xfId="4" applyNumberFormat="1" applyFill="1"/>
    <xf numFmtId="0" fontId="22" fillId="2" borderId="0" xfId="4" applyFill="1"/>
    <xf numFmtId="49" fontId="0" fillId="2" borderId="0" xfId="0" applyNumberFormat="1" applyFill="1" applyAlignment="1">
      <alignment wrapText="1"/>
    </xf>
    <xf numFmtId="49" fontId="0" fillId="2" borderId="0" xfId="0" applyNumberFormat="1" applyFill="1" applyAlignment="1">
      <alignmen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vertical="center" wrapText="1"/>
    </xf>
    <xf numFmtId="0" fontId="1" fillId="0" borderId="0" xfId="0" applyFont="1" applyAlignment="1">
      <alignment vertical="center" wrapText="1"/>
    </xf>
    <xf numFmtId="0" fontId="22" fillId="2" borderId="5" xfId="4" applyFill="1" applyBorder="1" applyAlignment="1">
      <alignment horizontal="left" vertical="center"/>
    </xf>
    <xf numFmtId="49" fontId="22" fillId="2" borderId="4" xfId="4" applyNumberFormat="1" applyFill="1" applyBorder="1" applyAlignment="1">
      <alignment horizontal="left" vertical="center"/>
    </xf>
    <xf numFmtId="0" fontId="0" fillId="0" borderId="9" xfId="0" applyFill="1" applyBorder="1" applyAlignment="1">
      <alignment horizontal="left" vertical="center"/>
    </xf>
    <xf numFmtId="0" fontId="4" fillId="0" borderId="10" xfId="0" applyFont="1" applyFill="1" applyBorder="1" applyAlignment="1">
      <alignment horizontal="left"/>
    </xf>
    <xf numFmtId="0" fontId="0" fillId="0" borderId="10" xfId="0" applyFill="1" applyBorder="1" applyAlignment="1">
      <alignment horizontal="center"/>
    </xf>
    <xf numFmtId="2" fontId="2" fillId="0" borderId="4" xfId="0" applyNumberFormat="1" applyFont="1"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0" xfId="0"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0" fillId="0" borderId="7" xfId="0" applyFill="1" applyBorder="1" applyAlignment="1">
      <alignment horizontal="left" vertical="center"/>
    </xf>
    <xf numFmtId="0" fontId="4" fillId="0" borderId="8" xfId="0" applyFont="1" applyFill="1" applyBorder="1" applyAlignment="1">
      <alignment horizontal="left"/>
    </xf>
    <xf numFmtId="0" fontId="0" fillId="0" borderId="7" xfId="0" applyFill="1" applyBorder="1" applyAlignment="1" applyProtection="1">
      <alignment horizontal="center"/>
      <protection locked="0"/>
    </xf>
    <xf numFmtId="0" fontId="0" fillId="0" borderId="4" xfId="0" applyFill="1" applyBorder="1" applyAlignment="1">
      <alignment horizontal="left"/>
    </xf>
    <xf numFmtId="0" fontId="0" fillId="0" borderId="8" xfId="0" applyFill="1" applyBorder="1" applyAlignment="1">
      <alignment horizontal="center"/>
    </xf>
    <xf numFmtId="0" fontId="0" fillId="0" borderId="8"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13" xfId="0" applyFill="1" applyBorder="1" applyAlignment="1" applyProtection="1">
      <alignment horizontal="center"/>
      <protection locked="0"/>
    </xf>
    <xf numFmtId="1" fontId="0" fillId="0" borderId="13" xfId="0" applyNumberFormat="1" applyFill="1" applyBorder="1" applyAlignment="1" applyProtection="1">
      <alignment horizontal="center"/>
      <protection locked="0"/>
    </xf>
    <xf numFmtId="0" fontId="0" fillId="0" borderId="5" xfId="0" applyFill="1" applyBorder="1" applyAlignment="1">
      <alignment horizontal="left"/>
    </xf>
    <xf numFmtId="0" fontId="0" fillId="0" borderId="11" xfId="0" applyFill="1" applyBorder="1" applyAlignment="1">
      <alignment horizontal="left" vertical="center"/>
    </xf>
    <xf numFmtId="0" fontId="4" fillId="0" borderId="12" xfId="0" applyFont="1" applyFill="1" applyBorder="1" applyAlignment="1">
      <alignment horizontal="left"/>
    </xf>
    <xf numFmtId="0" fontId="0" fillId="0" borderId="11" xfId="0" applyFill="1" applyBorder="1" applyAlignment="1" applyProtection="1">
      <alignment horizontal="center"/>
      <protection locked="0"/>
    </xf>
    <xf numFmtId="0" fontId="0" fillId="0" borderId="6" xfId="0" applyFill="1" applyBorder="1" applyAlignment="1">
      <alignment horizontal="left"/>
    </xf>
    <xf numFmtId="0" fontId="0" fillId="0" borderId="12" xfId="0" applyFill="1" applyBorder="1" applyAlignment="1">
      <alignment horizontal="center"/>
    </xf>
    <xf numFmtId="0" fontId="0" fillId="0" borderId="12"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15" xfId="0" applyFill="1" applyBorder="1" applyAlignment="1" applyProtection="1">
      <alignment horizontal="center"/>
      <protection locked="0"/>
    </xf>
    <xf numFmtId="1" fontId="0" fillId="0" borderId="15" xfId="0" applyNumberFormat="1" applyFill="1" applyBorder="1" applyAlignment="1" applyProtection="1">
      <alignment horizontal="center"/>
      <protection locked="0"/>
    </xf>
    <xf numFmtId="0" fontId="0" fillId="0" borderId="1" xfId="0" applyFill="1" applyBorder="1" applyAlignment="1">
      <alignment horizontal="left" vertical="center"/>
    </xf>
    <xf numFmtId="0" fontId="0" fillId="0" borderId="2" xfId="0" applyFill="1" applyBorder="1" applyAlignment="1">
      <alignment horizontal="left"/>
    </xf>
    <xf numFmtId="0" fontId="4" fillId="0" borderId="2" xfId="0" applyFont="1" applyFill="1" applyBorder="1" applyAlignment="1">
      <alignment horizontal="left"/>
    </xf>
    <xf numFmtId="0" fontId="4" fillId="0" borderId="4" xfId="0" applyFont="1" applyFill="1" applyBorder="1" applyAlignment="1">
      <alignment horizontal="left"/>
    </xf>
    <xf numFmtId="0" fontId="4" fillId="0" borderId="3" xfId="0" applyFont="1" applyFill="1" applyBorder="1" applyAlignment="1">
      <alignment horizontal="left"/>
    </xf>
    <xf numFmtId="0" fontId="0" fillId="0" borderId="2" xfId="0" applyFill="1" applyBorder="1" applyAlignment="1">
      <alignment horizontal="center"/>
    </xf>
    <xf numFmtId="2" fontId="2" fillId="0" borderId="2" xfId="0" applyNumberFormat="1"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14" xfId="0" applyFill="1" applyBorder="1" applyAlignment="1" applyProtection="1">
      <alignment horizontal="center"/>
      <protection locked="0"/>
    </xf>
    <xf numFmtId="1" fontId="0" fillId="0" borderId="14" xfId="0" applyNumberFormat="1" applyFill="1" applyBorder="1" applyAlignment="1" applyProtection="1">
      <alignment horizontal="center"/>
      <protection locked="0"/>
    </xf>
    <xf numFmtId="0" fontId="0" fillId="0" borderId="3" xfId="0" applyFill="1" applyBorder="1" applyAlignment="1">
      <alignment horizontal="left"/>
    </xf>
    <xf numFmtId="0" fontId="2" fillId="0" borderId="2" xfId="0" applyFont="1" applyFill="1" applyBorder="1" applyAlignment="1">
      <alignment horizontal="center"/>
    </xf>
    <xf numFmtId="1" fontId="0" fillId="0" borderId="10" xfId="0" applyNumberFormat="1" applyFill="1" applyBorder="1" applyAlignment="1" applyProtection="1">
      <alignment horizontal="center"/>
      <protection locked="0"/>
    </xf>
    <xf numFmtId="0" fontId="0" fillId="0" borderId="13" xfId="0" applyFill="1" applyBorder="1" applyAlignment="1">
      <alignment horizontal="center"/>
    </xf>
    <xf numFmtId="2" fontId="2" fillId="0" borderId="4" xfId="0" applyNumberFormat="1" applyFont="1" applyFill="1" applyBorder="1" applyAlignment="1">
      <alignment horizontal="center"/>
    </xf>
    <xf numFmtId="1" fontId="0" fillId="0" borderId="8" xfId="0" applyNumberFormat="1" applyFill="1" applyBorder="1" applyAlignment="1" applyProtection="1">
      <alignment horizontal="center"/>
      <protection locked="0"/>
    </xf>
    <xf numFmtId="0" fontId="0" fillId="0" borderId="15" xfId="0" applyFill="1" applyBorder="1" applyAlignment="1">
      <alignment horizontal="center"/>
    </xf>
    <xf numFmtId="2" fontId="2" fillId="0" borderId="6" xfId="0" applyNumberFormat="1" applyFont="1" applyFill="1" applyBorder="1" applyAlignment="1">
      <alignment horizontal="center"/>
    </xf>
    <xf numFmtId="2" fontId="2" fillId="0" borderId="10" xfId="0" applyNumberFormat="1" applyFont="1" applyFill="1" applyBorder="1" applyAlignment="1" applyProtection="1">
      <alignment horizontal="center"/>
      <protection locked="0"/>
    </xf>
    <xf numFmtId="0" fontId="0" fillId="0" borderId="3" xfId="0" applyFill="1" applyBorder="1" applyAlignment="1">
      <alignment horizontal="center"/>
    </xf>
    <xf numFmtId="0" fontId="0" fillId="0" borderId="6" xfId="0" applyFill="1"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11" fillId="5" borderId="2" xfId="0" applyFont="1" applyFill="1" applyBorder="1" applyAlignment="1"/>
    <xf numFmtId="0" fontId="11" fillId="6" borderId="3" xfId="0" applyFont="1" applyFill="1" applyBorder="1" applyAlignment="1"/>
    <xf numFmtId="0" fontId="4" fillId="11" borderId="8" xfId="0" applyFont="1" applyFill="1" applyBorder="1" applyAlignment="1">
      <alignment horizontal="left" wrapText="1"/>
    </xf>
    <xf numFmtId="0" fontId="0" fillId="11" borderId="8" xfId="0" applyFill="1" applyBorder="1" applyAlignment="1">
      <alignment horizontal="left" wrapText="1"/>
    </xf>
    <xf numFmtId="0" fontId="0" fillId="11" borderId="4" xfId="0" applyFill="1" applyBorder="1" applyAlignment="1">
      <alignment horizontal="left" wrapText="1"/>
    </xf>
    <xf numFmtId="0" fontId="0" fillId="11" borderId="3" xfId="0" applyFill="1" applyBorder="1" applyAlignment="1">
      <alignment horizontal="left" wrapText="1"/>
    </xf>
    <xf numFmtId="0" fontId="4" fillId="11" borderId="10" xfId="0" applyFont="1" applyFill="1" applyBorder="1" applyAlignment="1">
      <alignment horizontal="left" wrapText="1"/>
    </xf>
    <xf numFmtId="0" fontId="0" fillId="11" borderId="5" xfId="0" applyFill="1" applyBorder="1" applyAlignment="1">
      <alignment horizontal="left" wrapText="1"/>
    </xf>
    <xf numFmtId="0" fontId="0" fillId="11" borderId="10" xfId="0" applyFill="1" applyBorder="1" applyAlignment="1">
      <alignment horizontal="left" wrapText="1"/>
    </xf>
    <xf numFmtId="0" fontId="0" fillId="11" borderId="6" xfId="0" applyFill="1" applyBorder="1" applyAlignment="1">
      <alignment horizontal="left" wrapText="1"/>
    </xf>
    <xf numFmtId="0" fontId="0" fillId="13" borderId="8" xfId="0" applyFill="1" applyBorder="1" applyAlignment="1">
      <alignment horizontal="left" wrapText="1"/>
    </xf>
    <xf numFmtId="0" fontId="0" fillId="13" borderId="12" xfId="0" applyFill="1" applyBorder="1" applyAlignment="1">
      <alignment horizontal="left" wrapText="1"/>
    </xf>
    <xf numFmtId="0" fontId="0" fillId="13" borderId="10" xfId="0" applyFill="1" applyBorder="1" applyAlignment="1">
      <alignment horizontal="left" wrapText="1"/>
    </xf>
    <xf numFmtId="0" fontId="0" fillId="13" borderId="6" xfId="0" applyFill="1" applyBorder="1" applyAlignment="1">
      <alignment horizontal="left" wrapText="1"/>
    </xf>
    <xf numFmtId="0" fontId="4" fillId="13" borderId="8" xfId="0" applyFont="1" applyFill="1" applyBorder="1" applyAlignment="1">
      <alignment horizontal="left" wrapText="1"/>
    </xf>
    <xf numFmtId="0" fontId="0" fillId="13" borderId="3" xfId="0" applyFill="1" applyBorder="1" applyAlignment="1">
      <alignment horizontal="left" wrapText="1"/>
    </xf>
    <xf numFmtId="0" fontId="4" fillId="13" borderId="12" xfId="0" applyFont="1" applyFill="1" applyBorder="1" applyAlignment="1">
      <alignment horizontal="left" wrapText="1"/>
    </xf>
    <xf numFmtId="0" fontId="0" fillId="13" borderId="2" xfId="0" applyFill="1" applyBorder="1" applyAlignment="1">
      <alignment horizontal="left" wrapText="1"/>
    </xf>
    <xf numFmtId="0" fontId="4" fillId="11" borderId="2" xfId="0" applyFont="1" applyFill="1" applyBorder="1" applyAlignment="1">
      <alignment horizontal="left" wrapText="1"/>
    </xf>
    <xf numFmtId="0" fontId="0" fillId="11" borderId="2" xfId="0" applyFill="1" applyBorder="1" applyAlignment="1">
      <alignment horizontal="left" wrapText="1"/>
    </xf>
    <xf numFmtId="0" fontId="4" fillId="13" borderId="29" xfId="0" applyFont="1" applyFill="1" applyBorder="1" applyAlignment="1">
      <alignment horizontal="left" wrapText="1"/>
    </xf>
    <xf numFmtId="0" fontId="0" fillId="13" borderId="28" xfId="0" applyFill="1" applyBorder="1" applyAlignment="1">
      <alignment horizontal="left" wrapText="1"/>
    </xf>
    <xf numFmtId="0" fontId="0" fillId="13" borderId="29" xfId="0" applyFill="1" applyBorder="1" applyAlignment="1">
      <alignment horizontal="left" wrapText="1"/>
    </xf>
    <xf numFmtId="0" fontId="4" fillId="13" borderId="31" xfId="0" applyFont="1" applyFill="1" applyBorder="1" applyAlignment="1">
      <alignment horizontal="left" wrapText="1"/>
    </xf>
    <xf numFmtId="0" fontId="0" fillId="13" borderId="31" xfId="0" applyFill="1" applyBorder="1" applyAlignment="1">
      <alignment horizontal="left" wrapText="1"/>
    </xf>
    <xf numFmtId="0" fontId="0" fillId="13" borderId="32" xfId="0" applyFill="1" applyBorder="1" applyAlignment="1">
      <alignment horizontal="left" wrapText="1"/>
    </xf>
    <xf numFmtId="0" fontId="4" fillId="11" borderId="28" xfId="0" applyFont="1" applyFill="1" applyBorder="1" applyAlignment="1">
      <alignment horizontal="left" wrapText="1"/>
    </xf>
    <xf numFmtId="0" fontId="0" fillId="11" borderId="28" xfId="0" applyFill="1" applyBorder="1" applyAlignment="1">
      <alignment horizontal="left" wrapText="1"/>
    </xf>
    <xf numFmtId="0" fontId="0" fillId="11" borderId="29" xfId="0" applyFill="1" applyBorder="1" applyAlignment="1">
      <alignment horizontal="left" wrapText="1"/>
    </xf>
    <xf numFmtId="0" fontId="4" fillId="11" borderId="33" xfId="0" applyFont="1" applyFill="1" applyBorder="1" applyAlignment="1">
      <alignment horizontal="left" wrapText="1"/>
    </xf>
    <xf numFmtId="0" fontId="0" fillId="11" borderId="33" xfId="0" applyFill="1" applyBorder="1" applyAlignment="1">
      <alignment horizontal="left" wrapText="1"/>
    </xf>
    <xf numFmtId="0" fontId="0" fillId="11" borderId="34" xfId="0" applyFill="1" applyBorder="1" applyAlignment="1">
      <alignment horizontal="left" wrapText="1"/>
    </xf>
    <xf numFmtId="0" fontId="4" fillId="11" borderId="31" xfId="0" applyFont="1" applyFill="1" applyBorder="1" applyAlignment="1">
      <alignment horizontal="left" wrapText="1"/>
    </xf>
    <xf numFmtId="0" fontId="0" fillId="11" borderId="31" xfId="0" applyFill="1" applyBorder="1" applyAlignment="1">
      <alignment horizontal="left" wrapText="1"/>
    </xf>
    <xf numFmtId="0" fontId="0" fillId="11" borderId="32" xfId="0" applyFill="1" applyBorder="1" applyAlignment="1">
      <alignment horizontal="left" wrapText="1"/>
    </xf>
    <xf numFmtId="0" fontId="4" fillId="13" borderId="28" xfId="0" applyFont="1" applyFill="1" applyBorder="1" applyAlignment="1">
      <alignment horizontal="left" wrapText="1"/>
    </xf>
    <xf numFmtId="0" fontId="0" fillId="13" borderId="35" xfId="0" applyFill="1" applyBorder="1" applyAlignment="1">
      <alignment horizontal="left" wrapText="1"/>
    </xf>
    <xf numFmtId="0" fontId="4" fillId="13" borderId="33" xfId="0" applyFont="1" applyFill="1" applyBorder="1" applyAlignment="1">
      <alignment horizontal="left" wrapText="1"/>
    </xf>
    <xf numFmtId="0" fontId="0" fillId="13" borderId="36" xfId="0" applyFill="1" applyBorder="1" applyAlignment="1">
      <alignment horizontal="left" wrapText="1"/>
    </xf>
    <xf numFmtId="0" fontId="0" fillId="13" borderId="34" xfId="0" applyFill="1" applyBorder="1" applyAlignment="1">
      <alignment horizontal="left" wrapText="1"/>
    </xf>
    <xf numFmtId="0" fontId="0" fillId="13" borderId="33" xfId="0" applyFill="1" applyBorder="1" applyAlignment="1">
      <alignment horizontal="left" wrapText="1"/>
    </xf>
    <xf numFmtId="0" fontId="0" fillId="13" borderId="37" xfId="0" applyFill="1" applyBorder="1" applyAlignment="1">
      <alignment horizontal="left" wrapText="1"/>
    </xf>
    <xf numFmtId="0" fontId="24" fillId="12" borderId="1" xfId="0" applyFont="1" applyFill="1" applyBorder="1" applyAlignment="1">
      <alignment horizontal="center" vertical="center"/>
    </xf>
    <xf numFmtId="0" fontId="24" fillId="12" borderId="2" xfId="0" applyFont="1" applyFill="1" applyBorder="1" applyAlignment="1">
      <alignment horizontal="center" vertical="center"/>
    </xf>
    <xf numFmtId="0" fontId="24" fillId="12" borderId="2" xfId="0" applyFont="1" applyFill="1" applyBorder="1" applyAlignment="1">
      <alignment horizontal="left" vertical="center"/>
    </xf>
    <xf numFmtId="0" fontId="24" fillId="12" borderId="2"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11" fillId="2" borderId="0" xfId="0" applyFont="1" applyFill="1" applyAlignment="1"/>
    <xf numFmtId="0" fontId="1" fillId="11" borderId="7" xfId="0" applyFont="1" applyFill="1" applyBorder="1" applyAlignment="1">
      <alignment horizontal="left" vertical="center" wrapText="1"/>
    </xf>
    <xf numFmtId="0" fontId="1" fillId="11" borderId="8" xfId="0" applyFont="1" applyFill="1" applyBorder="1" applyAlignment="1">
      <alignment horizontal="left" vertical="center" wrapText="1"/>
    </xf>
    <xf numFmtId="0" fontId="1" fillId="13" borderId="27" xfId="0" applyFont="1" applyFill="1" applyBorder="1" applyAlignment="1">
      <alignment horizontal="left" vertical="center" wrapText="1"/>
    </xf>
    <xf numFmtId="0" fontId="1" fillId="13" borderId="28" xfId="0" applyFont="1" applyFill="1" applyBorder="1" applyAlignment="1">
      <alignment horizontal="left" vertical="center" wrapText="1"/>
    </xf>
    <xf numFmtId="0" fontId="1" fillId="13" borderId="30" xfId="0" applyFont="1" applyFill="1" applyBorder="1" applyAlignment="1">
      <alignment horizontal="left" vertical="center" wrapText="1"/>
    </xf>
    <xf numFmtId="0" fontId="1" fillId="13" borderId="31" xfId="0" applyFont="1" applyFill="1" applyBorder="1" applyAlignment="1">
      <alignment horizontal="left" vertical="center" wrapText="1"/>
    </xf>
    <xf numFmtId="0" fontId="1" fillId="11" borderId="28" xfId="0" applyFont="1" applyFill="1" applyBorder="1" applyAlignment="1">
      <alignment horizontal="left" vertical="center" wrapText="1"/>
    </xf>
    <xf numFmtId="0" fontId="1" fillId="11" borderId="33" xfId="0" applyFont="1" applyFill="1" applyBorder="1" applyAlignment="1">
      <alignment horizontal="left" vertical="center" wrapText="1"/>
    </xf>
    <xf numFmtId="0" fontId="1" fillId="11" borderId="31" xfId="0" applyFont="1" applyFill="1" applyBorder="1" applyAlignment="1">
      <alignment horizontal="left" vertical="center" wrapText="1"/>
    </xf>
    <xf numFmtId="0" fontId="1" fillId="11" borderId="9" xfId="0" applyFont="1" applyFill="1" applyBorder="1" applyAlignment="1">
      <alignment horizontal="left" vertical="center" wrapText="1"/>
    </xf>
    <xf numFmtId="0" fontId="1" fillId="11" borderId="10" xfId="0" applyFont="1" applyFill="1" applyBorder="1" applyAlignment="1">
      <alignment horizontal="left" vertical="center" wrapText="1"/>
    </xf>
    <xf numFmtId="0" fontId="1" fillId="13" borderId="7" xfId="0" applyFont="1" applyFill="1" applyBorder="1" applyAlignment="1">
      <alignment horizontal="left" vertical="center" wrapText="1"/>
    </xf>
    <xf numFmtId="0" fontId="1" fillId="13" borderId="8"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1" fillId="13" borderId="33" xfId="0" applyFont="1" applyFill="1" applyBorder="1" applyAlignment="1">
      <alignment horizontal="left" vertical="center" wrapText="1"/>
    </xf>
    <xf numFmtId="0" fontId="1" fillId="13" borderId="11" xfId="0" applyFont="1" applyFill="1" applyBorder="1" applyAlignment="1">
      <alignment horizontal="left" vertical="center" wrapText="1"/>
    </xf>
    <xf numFmtId="0" fontId="1" fillId="13" borderId="12" xfId="0" applyFont="1" applyFill="1" applyBorder="1" applyAlignment="1">
      <alignment horizontal="left" vertical="center" wrapText="1"/>
    </xf>
    <xf numFmtId="0" fontId="11" fillId="9" borderId="1" xfId="0" applyFont="1" applyFill="1" applyBorder="1" applyAlignment="1"/>
    <xf numFmtId="0" fontId="11" fillId="9" borderId="14" xfId="0" applyFont="1" applyFill="1" applyBorder="1" applyAlignment="1"/>
    <xf numFmtId="0" fontId="11" fillId="9" borderId="2" xfId="0" applyFont="1" applyFill="1" applyBorder="1" applyAlignment="1"/>
    <xf numFmtId="0" fontId="0" fillId="0" borderId="0" xfId="0" applyAlignment="1">
      <alignment horizontal="center"/>
    </xf>
    <xf numFmtId="0" fontId="2" fillId="0" borderId="11" xfId="0" applyFont="1" applyFill="1" applyBorder="1" applyAlignment="1" applyProtection="1">
      <alignment horizontal="center"/>
      <protection locked="0"/>
    </xf>
    <xf numFmtId="0" fontId="2" fillId="0" borderId="6" xfId="0" applyFont="1" applyFill="1" applyBorder="1" applyAlignment="1">
      <alignment horizontal="left"/>
    </xf>
    <xf numFmtId="2" fontId="2" fillId="0" borderId="3" xfId="0" applyNumberFormat="1" applyFont="1" applyFill="1" applyBorder="1" applyAlignment="1" applyProtection="1">
      <alignment horizontal="center"/>
      <protection locked="0"/>
    </xf>
    <xf numFmtId="0" fontId="2" fillId="0" borderId="3" xfId="0" applyFont="1" applyFill="1" applyBorder="1" applyAlignment="1">
      <alignment horizontal="left"/>
    </xf>
    <xf numFmtId="2" fontId="0" fillId="2" borderId="0" xfId="0" applyNumberFormat="1" applyFill="1" applyAlignment="1">
      <alignment horizontal="left" vertical="top" wrapText="1"/>
    </xf>
    <xf numFmtId="2" fontId="2" fillId="0" borderId="6" xfId="0" applyNumberFormat="1" applyFont="1" applyFill="1" applyBorder="1" applyAlignment="1" applyProtection="1">
      <alignment horizontal="center"/>
      <protection locked="0"/>
    </xf>
    <xf numFmtId="2" fontId="2" fillId="0" borderId="8" xfId="0" applyNumberFormat="1" applyFont="1" applyFill="1" applyBorder="1" applyAlignment="1" applyProtection="1">
      <alignment horizontal="center"/>
      <protection locked="0"/>
    </xf>
    <xf numFmtId="2" fontId="2" fillId="0" borderId="12" xfId="0" applyNumberFormat="1" applyFont="1" applyFill="1" applyBorder="1" applyAlignment="1" applyProtection="1">
      <alignment horizontal="center"/>
      <protection locked="0"/>
    </xf>
    <xf numFmtId="2" fontId="0" fillId="0" borderId="8" xfId="0" applyNumberFormat="1" applyFill="1" applyBorder="1" applyAlignment="1" applyProtection="1">
      <alignment horizontal="center"/>
      <protection locked="0"/>
    </xf>
    <xf numFmtId="2" fontId="2" fillId="0" borderId="5" xfId="0" applyNumberFormat="1" applyFont="1" applyFill="1" applyBorder="1" applyAlignment="1" applyProtection="1">
      <alignment horizontal="center"/>
      <protection locked="0"/>
    </xf>
    <xf numFmtId="2" fontId="2" fillId="0" borderId="8"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0" borderId="12" xfId="0" applyNumberFormat="1" applyFont="1" applyFill="1" applyBorder="1" applyAlignment="1">
      <alignment horizontal="center"/>
    </xf>
    <xf numFmtId="2" fontId="0" fillId="0" borderId="10" xfId="0" applyNumberFormat="1" applyFill="1" applyBorder="1" applyAlignment="1" applyProtection="1">
      <alignment horizontal="center"/>
      <protection locked="0"/>
    </xf>
    <xf numFmtId="0" fontId="26" fillId="0" borderId="0" xfId="0" applyFont="1" applyFill="1" applyBorder="1" applyAlignment="1">
      <alignment horizontal="left" vertical="top" wrapText="1"/>
    </xf>
    <xf numFmtId="3" fontId="26" fillId="0" borderId="0" xfId="0" applyNumberFormat="1" applyFont="1" applyFill="1" applyBorder="1" applyAlignment="1">
      <alignment horizontal="right" vertical="top" wrapText="1"/>
    </xf>
    <xf numFmtId="166" fontId="27" fillId="0" borderId="0" xfId="0" applyNumberFormat="1" applyFont="1" applyFill="1" applyBorder="1" applyAlignment="1">
      <alignment horizontal="right" vertical="top" wrapText="1"/>
    </xf>
    <xf numFmtId="49" fontId="26" fillId="0" borderId="0" xfId="0" applyNumberFormat="1" applyFont="1" applyFill="1" applyBorder="1" applyAlignment="1">
      <alignment horizontal="left" vertical="top" wrapText="1"/>
    </xf>
    <xf numFmtId="1" fontId="26" fillId="0" borderId="0" xfId="0" applyNumberFormat="1" applyFont="1" applyFill="1" applyBorder="1" applyAlignment="1">
      <alignment horizontal="right" vertical="top" wrapText="1"/>
    </xf>
    <xf numFmtId="1" fontId="27" fillId="0" borderId="0" xfId="0" applyNumberFormat="1" applyFont="1" applyFill="1" applyBorder="1" applyAlignment="1">
      <alignment horizontal="right" vertical="top" wrapText="1"/>
    </xf>
    <xf numFmtId="9" fontId="26" fillId="0" borderId="0" xfId="1" applyFont="1" applyFill="1" applyBorder="1" applyAlignment="1">
      <alignment horizontal="right" vertical="top" wrapText="1"/>
    </xf>
    <xf numFmtId="9" fontId="27" fillId="0" borderId="0" xfId="1" applyFont="1" applyFill="1" applyBorder="1" applyAlignment="1">
      <alignment horizontal="right" vertical="top" wrapText="1"/>
    </xf>
    <xf numFmtId="0" fontId="27" fillId="0" borderId="0" xfId="0" applyFont="1" applyFill="1" applyBorder="1" applyAlignment="1">
      <alignment horizontal="right" vertical="top" wrapText="1"/>
    </xf>
    <xf numFmtId="1" fontId="0" fillId="0" borderId="1" xfId="0" applyNumberFormat="1" applyFill="1" applyBorder="1" applyAlignment="1" applyProtection="1">
      <alignment horizontal="center"/>
      <protection locked="0"/>
    </xf>
    <xf numFmtId="1" fontId="0" fillId="0" borderId="0" xfId="0" applyNumberFormat="1" applyFill="1" applyAlignment="1">
      <alignment horizontal="center"/>
    </xf>
    <xf numFmtId="0" fontId="0" fillId="11" borderId="38" xfId="0" applyFill="1" applyBorder="1" applyAlignment="1">
      <alignment horizontal="left" wrapText="1"/>
    </xf>
    <xf numFmtId="0" fontId="2" fillId="0" borderId="7"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2" fontId="28" fillId="0" borderId="0" xfId="0" applyNumberFormat="1" applyFont="1" applyFill="1" applyAlignment="1">
      <alignment horizontal="center" wrapText="1"/>
    </xf>
    <xf numFmtId="0" fontId="2" fillId="0" borderId="1" xfId="0" applyFont="1" applyFill="1" applyBorder="1" applyAlignment="1" applyProtection="1">
      <alignment horizontal="center"/>
      <protection locked="0"/>
    </xf>
    <xf numFmtId="171" fontId="2" fillId="0" borderId="7" xfId="0" applyNumberFormat="1" applyFont="1" applyFill="1" applyBorder="1" applyAlignment="1" applyProtection="1">
      <alignment horizontal="center"/>
      <protection locked="0"/>
    </xf>
    <xf numFmtId="2" fontId="2" fillId="0" borderId="9" xfId="0" applyNumberFormat="1"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49" fontId="0" fillId="2" borderId="0" xfId="0" applyNumberFormat="1" applyFill="1" applyAlignment="1">
      <alignment horizontal="left" vertical="top" wrapText="1"/>
    </xf>
    <xf numFmtId="0" fontId="5" fillId="2" borderId="0" xfId="0" applyFont="1" applyFill="1" applyBorder="1"/>
    <xf numFmtId="0" fontId="1" fillId="11" borderId="7" xfId="0" applyFont="1" applyFill="1" applyBorder="1" applyAlignment="1">
      <alignment vertical="center" wrapText="1"/>
    </xf>
    <xf numFmtId="0" fontId="1" fillId="11" borderId="9" xfId="0" applyFont="1" applyFill="1" applyBorder="1" applyAlignment="1">
      <alignment vertical="center" wrapText="1"/>
    </xf>
    <xf numFmtId="0" fontId="1" fillId="11" borderId="11" xfId="0" applyFont="1" applyFill="1" applyBorder="1" applyAlignment="1">
      <alignment vertical="center" wrapText="1"/>
    </xf>
    <xf numFmtId="0" fontId="1" fillId="13" borderId="7" xfId="0" applyFont="1" applyFill="1" applyBorder="1" applyAlignment="1">
      <alignment vertical="center" wrapText="1"/>
    </xf>
    <xf numFmtId="0" fontId="1" fillId="13" borderId="9" xfId="0" applyFont="1" applyFill="1" applyBorder="1" applyAlignment="1">
      <alignment vertical="center" wrapText="1"/>
    </xf>
    <xf numFmtId="0" fontId="1" fillId="13" borderId="11" xfId="0" applyFont="1" applyFill="1" applyBorder="1" applyAlignment="1">
      <alignment vertical="center" wrapText="1"/>
    </xf>
    <xf numFmtId="3" fontId="0" fillId="0" borderId="0" xfId="0" applyNumberFormat="1" applyFill="1" applyBorder="1" applyAlignment="1">
      <alignment horizontal="right" vertical="center"/>
    </xf>
    <xf numFmtId="3" fontId="0" fillId="0" borderId="0" xfId="0" applyNumberFormat="1" applyFill="1" applyBorder="1" applyAlignment="1">
      <alignment horizontal="right" vertical="center" wrapText="1"/>
    </xf>
    <xf numFmtId="0" fontId="0" fillId="2" borderId="0" xfId="0" applyNumberFormat="1" applyFill="1" applyAlignment="1">
      <alignment wrapText="1"/>
    </xf>
    <xf numFmtId="0" fontId="0" fillId="2" borderId="18" xfId="0" applyNumberFormat="1" applyFill="1" applyBorder="1" applyAlignment="1">
      <alignment wrapText="1"/>
    </xf>
    <xf numFmtId="0" fontId="13" fillId="2" borderId="20" xfId="0" applyNumberFormat="1" applyFont="1" applyFill="1" applyBorder="1" applyAlignment="1">
      <alignment wrapText="1"/>
    </xf>
    <xf numFmtId="0" fontId="12" fillId="2" borderId="20" xfId="0" applyNumberFormat="1" applyFont="1" applyFill="1" applyBorder="1" applyAlignment="1">
      <alignment wrapText="1"/>
    </xf>
    <xf numFmtId="49" fontId="0" fillId="2" borderId="20" xfId="0" applyNumberFormat="1" applyFill="1" applyBorder="1" applyAlignment="1">
      <alignment wrapText="1"/>
    </xf>
    <xf numFmtId="0" fontId="12" fillId="2" borderId="0" xfId="0" applyNumberFormat="1" applyFont="1" applyFill="1" applyBorder="1" applyAlignment="1">
      <alignment wrapText="1"/>
    </xf>
    <xf numFmtId="0" fontId="0" fillId="2" borderId="0" xfId="0" applyNumberFormat="1" applyFill="1" applyAlignment="1">
      <alignment horizontal="right" wrapText="1"/>
    </xf>
    <xf numFmtId="49" fontId="0" fillId="2" borderId="0" xfId="0" applyNumberFormat="1" applyFill="1" applyAlignment="1">
      <alignment horizontal="right" vertical="center"/>
    </xf>
    <xf numFmtId="49" fontId="0" fillId="2" borderId="0" xfId="0" applyNumberFormat="1" applyFill="1" applyAlignment="1">
      <alignment vertical="center"/>
    </xf>
    <xf numFmtId="0" fontId="0" fillId="2" borderId="16" xfId="0" applyFill="1" applyBorder="1" applyAlignment="1">
      <alignment vertical="center"/>
    </xf>
    <xf numFmtId="0" fontId="0" fillId="3" borderId="17" xfId="0" applyFill="1" applyBorder="1" applyAlignment="1" applyProtection="1">
      <alignment horizontal="right" vertical="center"/>
      <protection locked="0"/>
    </xf>
    <xf numFmtId="0" fontId="0" fillId="2" borderId="17" xfId="0" applyFill="1" applyBorder="1" applyAlignment="1">
      <alignment vertical="center"/>
    </xf>
    <xf numFmtId="0" fontId="0" fillId="2" borderId="19" xfId="0" applyFill="1" applyBorder="1" applyAlignment="1">
      <alignment vertical="center"/>
    </xf>
    <xf numFmtId="0" fontId="0" fillId="3" borderId="0" xfId="0" applyFill="1" applyBorder="1" applyAlignment="1" applyProtection="1">
      <alignment horizontal="right" vertical="center"/>
      <protection locked="0"/>
    </xf>
    <xf numFmtId="0" fontId="2" fillId="2" borderId="0" xfId="0" applyFont="1" applyFill="1" applyBorder="1" applyAlignment="1">
      <alignment vertical="center"/>
    </xf>
    <xf numFmtId="3" fontId="0" fillId="3" borderId="0" xfId="0" applyNumberFormat="1" applyFill="1" applyBorder="1" applyAlignment="1" applyProtection="1">
      <alignment horizontal="right" vertical="center"/>
      <protection locked="0"/>
    </xf>
    <xf numFmtId="0" fontId="0" fillId="2" borderId="0" xfId="0" applyFill="1" applyBorder="1" applyAlignment="1">
      <alignment vertical="center"/>
    </xf>
    <xf numFmtId="49" fontId="0" fillId="2" borderId="19" xfId="0" applyNumberFormat="1" applyFill="1" applyBorder="1" applyAlignment="1">
      <alignment vertical="center"/>
    </xf>
    <xf numFmtId="49" fontId="0" fillId="2" borderId="0" xfId="0" applyNumberFormat="1" applyFill="1" applyBorder="1" applyAlignment="1">
      <alignment vertical="center"/>
    </xf>
    <xf numFmtId="3" fontId="0" fillId="2" borderId="0" xfId="0" applyNumberFormat="1" applyFill="1" applyBorder="1" applyAlignment="1">
      <alignment horizontal="right" vertical="center"/>
    </xf>
    <xf numFmtId="0" fontId="0" fillId="2" borderId="0" xfId="0" applyFill="1" applyBorder="1" applyAlignment="1">
      <alignment horizontal="right" vertical="center"/>
    </xf>
    <xf numFmtId="49" fontId="0" fillId="3" borderId="0" xfId="0" applyNumberFormat="1" applyFill="1" applyBorder="1" applyAlignment="1" applyProtection="1">
      <alignment horizontal="right" vertical="center"/>
      <protection locked="0"/>
    </xf>
    <xf numFmtId="3" fontId="0" fillId="3" borderId="0" xfId="0" applyNumberFormat="1" applyFill="1" applyBorder="1" applyAlignment="1">
      <alignment horizontal="right" vertical="center"/>
    </xf>
    <xf numFmtId="49" fontId="22" fillId="2" borderId="0" xfId="4" applyNumberFormat="1" applyFill="1" applyAlignment="1">
      <alignment vertical="center"/>
    </xf>
    <xf numFmtId="0" fontId="0" fillId="2" borderId="0" xfId="0" applyFill="1" applyAlignment="1">
      <alignment horizontal="right" vertical="center"/>
    </xf>
    <xf numFmtId="0" fontId="22" fillId="2" borderId="0" xfId="4" applyFill="1" applyAlignment="1">
      <alignment vertical="center"/>
    </xf>
    <xf numFmtId="49" fontId="0" fillId="2" borderId="0" xfId="0" applyNumberFormat="1" applyFill="1" applyAlignment="1">
      <alignment vertical="center" wrapText="1"/>
    </xf>
    <xf numFmtId="49" fontId="1" fillId="2" borderId="1" xfId="0" applyNumberFormat="1" applyFont="1" applyFill="1" applyBorder="1" applyAlignment="1">
      <alignment horizontal="left" vertical="center"/>
    </xf>
    <xf numFmtId="49" fontId="1" fillId="2" borderId="2" xfId="0" applyNumberFormat="1" applyFont="1" applyFill="1" applyBorder="1" applyAlignment="1">
      <alignment vertical="center"/>
    </xf>
    <xf numFmtId="0" fontId="0" fillId="2" borderId="3" xfId="0" applyFill="1" applyBorder="1" applyAlignment="1">
      <alignment vertical="center"/>
    </xf>
    <xf numFmtId="49" fontId="0" fillId="2" borderId="10" xfId="0" applyNumberFormat="1" applyFill="1" applyBorder="1" applyAlignment="1">
      <alignment vertical="center"/>
    </xf>
    <xf numFmtId="0" fontId="0" fillId="2" borderId="0" xfId="0" applyFill="1" applyAlignment="1">
      <alignment vertical="center"/>
    </xf>
    <xf numFmtId="0" fontId="12" fillId="2" borderId="18" xfId="0" applyFont="1" applyFill="1" applyBorder="1" applyAlignment="1">
      <alignment vertical="center" wrapText="1"/>
    </xf>
    <xf numFmtId="0" fontId="13" fillId="2" borderId="20" xfId="0" applyFont="1" applyFill="1" applyBorder="1" applyAlignment="1">
      <alignment vertical="center" wrapText="1"/>
    </xf>
    <xf numFmtId="0" fontId="12" fillId="2" borderId="20" xfId="0" applyFont="1" applyFill="1" applyBorder="1" applyAlignment="1">
      <alignment vertical="center" wrapText="1"/>
    </xf>
    <xf numFmtId="49" fontId="0" fillId="2" borderId="20" xfId="0" applyNumberFormat="1" applyFill="1" applyBorder="1" applyAlignment="1">
      <alignment vertical="center" wrapText="1"/>
    </xf>
    <xf numFmtId="0" fontId="12" fillId="2" borderId="20" xfId="0" applyNumberFormat="1" applyFont="1" applyFill="1" applyBorder="1" applyAlignment="1">
      <alignment vertical="center" wrapText="1"/>
    </xf>
    <xf numFmtId="0" fontId="0" fillId="2" borderId="20" xfId="0" applyFill="1" applyBorder="1" applyAlignment="1">
      <alignment vertical="center" wrapText="1"/>
    </xf>
    <xf numFmtId="0" fontId="0" fillId="2" borderId="0" xfId="0" applyFill="1" applyBorder="1" applyAlignment="1">
      <alignment vertical="center" wrapText="1"/>
    </xf>
    <xf numFmtId="49" fontId="22" fillId="2" borderId="0" xfId="4" applyNumberFormat="1" applyFill="1" applyAlignment="1">
      <alignment vertical="center" wrapText="1"/>
    </xf>
    <xf numFmtId="0" fontId="22" fillId="2" borderId="0" xfId="4" applyFill="1" applyAlignment="1">
      <alignment vertical="center" wrapText="1"/>
    </xf>
    <xf numFmtId="0" fontId="0" fillId="2" borderId="0" xfId="0" applyFill="1" applyAlignment="1">
      <alignment vertical="center" wrapText="1"/>
    </xf>
    <xf numFmtId="0" fontId="0" fillId="2" borderId="18" xfId="0" applyFill="1" applyBorder="1" applyAlignment="1">
      <alignment vertical="center" wrapText="1"/>
    </xf>
    <xf numFmtId="0" fontId="12" fillId="2" borderId="20" xfId="0" applyFont="1" applyFill="1" applyBorder="1" applyAlignment="1">
      <alignment horizontal="left" vertical="center" wrapText="1"/>
    </xf>
    <xf numFmtId="1" fontId="0" fillId="2" borderId="0" xfId="0" applyNumberFormat="1" applyFill="1" applyBorder="1" applyAlignment="1">
      <alignment horizontal="right" vertical="center"/>
    </xf>
    <xf numFmtId="0" fontId="12" fillId="2" borderId="0" xfId="0" applyFont="1" applyFill="1" applyAlignment="1">
      <alignment horizontal="left" vertical="center" wrapText="1"/>
    </xf>
    <xf numFmtId="49" fontId="12" fillId="2" borderId="0" xfId="0" applyNumberFormat="1" applyFont="1" applyFill="1" applyAlignment="1">
      <alignment horizontal="left" vertical="center" wrapText="1"/>
    </xf>
    <xf numFmtId="0" fontId="12" fillId="2" borderId="18" xfId="0" applyFont="1" applyFill="1" applyBorder="1" applyAlignment="1">
      <alignment horizontal="left" vertical="center" wrapText="1"/>
    </xf>
    <xf numFmtId="0" fontId="13" fillId="2" borderId="20" xfId="0" applyFont="1" applyFill="1" applyBorder="1" applyAlignment="1">
      <alignment horizontal="left" vertical="center" wrapText="1"/>
    </xf>
    <xf numFmtId="49" fontId="12" fillId="2" borderId="20" xfId="0" applyNumberFormat="1" applyFont="1" applyFill="1" applyBorder="1" applyAlignment="1">
      <alignment horizontal="left" vertical="center" wrapText="1"/>
    </xf>
    <xf numFmtId="0" fontId="12" fillId="2" borderId="20" xfId="0" applyNumberFormat="1" applyFont="1" applyFill="1" applyBorder="1" applyAlignment="1">
      <alignment horizontal="left" vertical="center" wrapText="1"/>
    </xf>
    <xf numFmtId="167" fontId="2" fillId="0" borderId="4" xfId="0" applyNumberFormat="1" applyFont="1" applyFill="1" applyBorder="1" applyAlignment="1" applyProtection="1">
      <alignment horizontal="center"/>
      <protection locked="0"/>
    </xf>
    <xf numFmtId="167" fontId="2" fillId="0" borderId="6" xfId="0" applyNumberFormat="1" applyFont="1" applyFill="1" applyBorder="1" applyAlignment="1" applyProtection="1">
      <alignment horizontal="center"/>
      <protection locked="0"/>
    </xf>
    <xf numFmtId="0" fontId="0" fillId="2" borderId="0" xfId="0" applyFill="1" applyAlignment="1">
      <alignment wrapText="1"/>
    </xf>
    <xf numFmtId="172" fontId="2" fillId="0" borderId="0" xfId="0" applyNumberFormat="1" applyFont="1" applyFill="1" applyAlignment="1">
      <alignment horizontal="right" vertical="center" wrapText="1"/>
    </xf>
    <xf numFmtId="172" fontId="2" fillId="0" borderId="0" xfId="1" applyNumberFormat="1" applyFont="1" applyFill="1" applyAlignment="1">
      <alignment horizontal="right" vertical="center" wrapText="1"/>
    </xf>
    <xf numFmtId="167" fontId="0" fillId="0" borderId="0" xfId="0" applyNumberFormat="1" applyFill="1" applyAlignment="1">
      <alignment horizontal="right" indent="1"/>
    </xf>
    <xf numFmtId="174" fontId="26" fillId="0" borderId="0" xfId="0" applyNumberFormat="1" applyFont="1" applyFill="1" applyBorder="1" applyAlignment="1">
      <alignment horizontal="right" vertical="top" wrapText="1"/>
    </xf>
    <xf numFmtId="0" fontId="26" fillId="2" borderId="19" xfId="0" applyFont="1" applyFill="1" applyBorder="1" applyAlignment="1">
      <alignment horizontal="left" vertical="top" wrapText="1"/>
    </xf>
    <xf numFmtId="177" fontId="26" fillId="2" borderId="0" xfId="0" applyNumberFormat="1" applyFont="1" applyFill="1" applyBorder="1" applyAlignment="1">
      <alignment horizontal="left" vertical="center" wrapText="1"/>
    </xf>
    <xf numFmtId="178" fontId="29" fillId="2" borderId="20" xfId="0" applyNumberFormat="1" applyFont="1" applyFill="1" applyBorder="1" applyAlignment="1">
      <alignment horizontal="left" vertical="center" wrapText="1"/>
    </xf>
    <xf numFmtId="49" fontId="26" fillId="2" borderId="0" xfId="0" applyNumberFormat="1" applyFont="1" applyFill="1" applyAlignment="1">
      <alignment horizontal="left" vertical="top" wrapText="1"/>
    </xf>
    <xf numFmtId="179" fontId="26" fillId="2" borderId="0" xfId="0" applyNumberFormat="1" applyFont="1" applyFill="1" applyAlignment="1">
      <alignment horizontal="left" vertical="top" wrapText="1"/>
    </xf>
    <xf numFmtId="0" fontId="26" fillId="2" borderId="0" xfId="0" applyFont="1" applyFill="1" applyBorder="1" applyAlignment="1">
      <alignment horizontal="left" vertical="top" wrapText="1"/>
    </xf>
    <xf numFmtId="0" fontId="26" fillId="0" borderId="0" xfId="0" applyFont="1" applyAlignment="1">
      <alignment horizontal="left" vertical="top" wrapText="1"/>
    </xf>
    <xf numFmtId="2" fontId="26" fillId="2" borderId="0" xfId="0" applyNumberFormat="1" applyFont="1" applyFill="1" applyAlignment="1">
      <alignment horizontal="left" vertical="top" wrapText="1"/>
    </xf>
    <xf numFmtId="0" fontId="29" fillId="2" borderId="20" xfId="0" applyNumberFormat="1" applyFont="1" applyFill="1" applyBorder="1" applyAlignment="1">
      <alignment horizontal="left" vertical="center" wrapText="1"/>
    </xf>
    <xf numFmtId="2" fontId="26" fillId="0" borderId="0" xfId="0" applyNumberFormat="1" applyFont="1" applyFill="1" applyAlignment="1">
      <alignment horizontal="left" vertical="top" wrapText="1"/>
    </xf>
    <xf numFmtId="175" fontId="0" fillId="0" borderId="0" xfId="0" applyNumberFormat="1" applyFill="1"/>
    <xf numFmtId="166" fontId="0" fillId="0" borderId="14" xfId="0" applyNumberFormat="1" applyFill="1" applyBorder="1" applyAlignment="1" applyProtection="1">
      <alignment horizontal="center"/>
      <protection locked="0"/>
    </xf>
    <xf numFmtId="176" fontId="26" fillId="2" borderId="0" xfId="0" applyNumberFormat="1" applyFont="1" applyFill="1" applyAlignment="1">
      <alignment horizontal="left" vertical="top" wrapText="1"/>
    </xf>
    <xf numFmtId="2" fontId="16" fillId="0" borderId="0" xfId="0" applyNumberFormat="1" applyFont="1" applyFill="1" applyBorder="1" applyAlignment="1">
      <alignment horizontal="right" indent="1"/>
    </xf>
    <xf numFmtId="1" fontId="16" fillId="0" borderId="0" xfId="0" applyNumberFormat="1" applyFont="1" applyFill="1" applyBorder="1" applyAlignment="1">
      <alignment horizontal="right" indent="1"/>
    </xf>
    <xf numFmtId="2" fontId="0" fillId="0" borderId="0" xfId="0" applyNumberFormat="1" applyFill="1" applyAlignment="1">
      <alignment horizontal="right" indent="1"/>
    </xf>
    <xf numFmtId="1" fontId="0" fillId="0" borderId="0" xfId="0" applyNumberFormat="1" applyFill="1" applyAlignment="1" applyProtection="1">
      <alignment horizontal="right" indent="1"/>
      <protection locked="0"/>
    </xf>
    <xf numFmtId="1" fontId="0" fillId="0" borderId="0" xfId="0" applyNumberFormat="1" applyFill="1" applyAlignment="1">
      <alignment horizontal="right" indent="1"/>
    </xf>
    <xf numFmtId="49" fontId="0" fillId="2" borderId="0" xfId="0" applyNumberFormat="1" applyFill="1" applyAlignment="1">
      <alignment horizontal="left" vertical="top" wrapText="1"/>
    </xf>
    <xf numFmtId="0" fontId="12" fillId="2" borderId="0" xfId="0" applyFont="1" applyFill="1" applyBorder="1" applyAlignment="1">
      <alignment horizontal="left" vertical="center" wrapText="1"/>
    </xf>
    <xf numFmtId="166" fontId="16" fillId="2" borderId="0" xfId="0" applyNumberFormat="1" applyFont="1" applyFill="1" applyBorder="1" applyAlignment="1">
      <alignment horizontal="right" indent="1"/>
    </xf>
    <xf numFmtId="167" fontId="16" fillId="2" borderId="0" xfId="0" applyNumberFormat="1" applyFont="1" applyFill="1" applyBorder="1" applyAlignment="1">
      <alignment horizontal="right" indent="1"/>
    </xf>
    <xf numFmtId="2" fontId="16" fillId="2" borderId="0" xfId="0" applyNumberFormat="1" applyFont="1" applyFill="1" applyBorder="1" applyAlignment="1">
      <alignment horizontal="right" indent="1"/>
    </xf>
    <xf numFmtId="0" fontId="2" fillId="2" borderId="0" xfId="0" applyFont="1" applyFill="1"/>
    <xf numFmtId="167" fontId="2" fillId="2" borderId="0" xfId="0" applyNumberFormat="1" applyFont="1" applyFill="1" applyAlignment="1">
      <alignment horizontal="right" indent="1"/>
    </xf>
    <xf numFmtId="0" fontId="2" fillId="2" borderId="0" xfId="0" applyFont="1" applyFill="1" applyAlignment="1">
      <alignment horizontal="left"/>
    </xf>
    <xf numFmtId="1" fontId="2" fillId="2" borderId="0" xfId="0" applyNumberFormat="1" applyFont="1" applyFill="1" applyAlignment="1">
      <alignment horizontal="right" indent="1"/>
    </xf>
    <xf numFmtId="1" fontId="0" fillId="2" borderId="0" xfId="0" applyNumberFormat="1" applyFont="1" applyFill="1" applyAlignment="1">
      <alignment horizontal="right" wrapText="1" indent="1"/>
    </xf>
    <xf numFmtId="0" fontId="0" fillId="2" borderId="0" xfId="0" applyFont="1" applyFill="1"/>
    <xf numFmtId="167" fontId="0" fillId="2" borderId="0" xfId="0" applyNumberFormat="1" applyFill="1" applyAlignment="1">
      <alignment horizontal="right" indent="1"/>
    </xf>
    <xf numFmtId="167" fontId="17" fillId="2" borderId="0" xfId="0" applyNumberFormat="1" applyFont="1" applyFill="1" applyBorder="1" applyAlignment="1">
      <alignment horizontal="right" indent="1"/>
    </xf>
    <xf numFmtId="0" fontId="0" fillId="2" borderId="0" xfId="0" applyFont="1" applyFill="1" applyAlignment="1">
      <alignment horizontal="left"/>
    </xf>
    <xf numFmtId="0" fontId="0" fillId="2" borderId="0" xfId="0" applyFill="1" applyAlignment="1">
      <alignment horizontal="left"/>
    </xf>
    <xf numFmtId="2" fontId="17" fillId="2" borderId="0" xfId="0" applyNumberFormat="1" applyFont="1" applyFill="1" applyBorder="1" applyAlignment="1">
      <alignment horizontal="right" indent="1"/>
    </xf>
    <xf numFmtId="1" fontId="0" fillId="2" borderId="0" xfId="0" applyNumberFormat="1" applyFill="1" applyAlignment="1">
      <alignment horizontal="right" indent="1"/>
    </xf>
    <xf numFmtId="2" fontId="0" fillId="2" borderId="0" xfId="0" applyNumberFormat="1" applyFill="1" applyAlignment="1">
      <alignment vertical="center"/>
    </xf>
    <xf numFmtId="172" fontId="0" fillId="2" borderId="0" xfId="0" applyNumberFormat="1" applyFill="1" applyBorder="1" applyAlignment="1">
      <alignment horizontal="right" vertical="center"/>
    </xf>
    <xf numFmtId="0" fontId="12" fillId="2" borderId="20" xfId="0" applyFont="1" applyFill="1" applyBorder="1" applyAlignment="1">
      <alignment horizontal="left" vertical="center" wrapText="1"/>
    </xf>
    <xf numFmtId="0" fontId="0" fillId="13" borderId="29" xfId="0" applyFill="1" applyBorder="1" applyAlignment="1" applyProtection="1">
      <alignment horizontal="left" wrapText="1"/>
      <protection locked="0"/>
    </xf>
    <xf numFmtId="0" fontId="0" fillId="13" borderId="32" xfId="0" applyFill="1" applyBorder="1" applyAlignment="1" applyProtection="1">
      <alignment horizontal="left" wrapText="1"/>
      <protection locked="0"/>
    </xf>
    <xf numFmtId="3" fontId="0" fillId="2" borderId="0" xfId="0" applyNumberFormat="1" applyFill="1" applyBorder="1" applyAlignment="1">
      <alignment vertical="center"/>
    </xf>
    <xf numFmtId="0" fontId="12" fillId="2" borderId="0" xfId="0" applyFont="1" applyFill="1" applyBorder="1" applyAlignment="1">
      <alignment horizontal="left" vertical="center"/>
    </xf>
    <xf numFmtId="49" fontId="0" fillId="2" borderId="0" xfId="0" applyNumberFormat="1" applyFill="1" applyAlignment="1"/>
    <xf numFmtId="0" fontId="0" fillId="2" borderId="0" xfId="0" applyFill="1" applyAlignment="1"/>
    <xf numFmtId="172" fontId="2" fillId="2" borderId="0" xfId="0" applyNumberFormat="1" applyFont="1" applyFill="1" applyAlignment="1">
      <alignment horizontal="right" vertical="center" wrapText="1"/>
    </xf>
    <xf numFmtId="0" fontId="23" fillId="10" borderId="0" xfId="0" applyFont="1" applyFill="1"/>
    <xf numFmtId="2" fontId="14" fillId="10" borderId="0" xfId="0" applyNumberFormat="1" applyFont="1" applyFill="1"/>
    <xf numFmtId="0" fontId="14" fillId="10" borderId="0" xfId="0" applyFont="1" applyFill="1"/>
    <xf numFmtId="0" fontId="0" fillId="10" borderId="0" xfId="0" applyFill="1"/>
    <xf numFmtId="0" fontId="0" fillId="10" borderId="0" xfId="0" applyFill="1" applyBorder="1"/>
    <xf numFmtId="0" fontId="2" fillId="10" borderId="0" xfId="0" applyFont="1" applyFill="1" applyBorder="1"/>
    <xf numFmtId="3" fontId="0" fillId="10" borderId="0" xfId="0" applyNumberFormat="1" applyFill="1"/>
    <xf numFmtId="1" fontId="0" fillId="10" borderId="0" xfId="0" applyNumberFormat="1" applyFill="1" applyBorder="1"/>
    <xf numFmtId="2" fontId="0" fillId="10" borderId="0" xfId="0" applyNumberFormat="1" applyFill="1" applyBorder="1"/>
    <xf numFmtId="171" fontId="0" fillId="10" borderId="0" xfId="0" applyNumberFormat="1" applyFill="1" applyBorder="1"/>
    <xf numFmtId="0" fontId="2" fillId="10" borderId="0" xfId="0" applyFont="1" applyFill="1"/>
    <xf numFmtId="166" fontId="15" fillId="10" borderId="0" xfId="0" applyNumberFormat="1" applyFont="1" applyFill="1"/>
    <xf numFmtId="1" fontId="0" fillId="10" borderId="0" xfId="0" applyNumberFormat="1" applyFill="1"/>
    <xf numFmtId="1" fontId="2" fillId="10" borderId="0" xfId="0" applyNumberFormat="1" applyFont="1" applyFill="1"/>
    <xf numFmtId="0" fontId="1" fillId="10" borderId="0" xfId="0" applyFont="1" applyFill="1" applyBorder="1"/>
    <xf numFmtId="0" fontId="0" fillId="10" borderId="0" xfId="0" applyFont="1" applyFill="1" applyBorder="1"/>
    <xf numFmtId="49" fontId="0" fillId="2" borderId="0" xfId="0" applyNumberFormat="1" applyFill="1" applyBorder="1" applyAlignment="1">
      <alignment vertical="center" wrapText="1"/>
    </xf>
    <xf numFmtId="49" fontId="1" fillId="2" borderId="0" xfId="0" applyNumberFormat="1" applyFont="1" applyFill="1" applyBorder="1" applyAlignment="1">
      <alignment vertical="center"/>
    </xf>
    <xf numFmtId="3" fontId="1" fillId="2" borderId="0" xfId="0" applyNumberFormat="1" applyFont="1" applyFill="1" applyBorder="1" applyAlignment="1">
      <alignment horizontal="right" vertical="center" wrapText="1"/>
    </xf>
    <xf numFmtId="0" fontId="1" fillId="2" borderId="0" xfId="0" applyFont="1" applyFill="1" applyBorder="1" applyAlignment="1">
      <alignment horizontal="left" vertical="center" wrapText="1"/>
    </xf>
    <xf numFmtId="49" fontId="1" fillId="2" borderId="0" xfId="0" applyNumberFormat="1" applyFont="1" applyFill="1" applyBorder="1" applyAlignment="1">
      <alignment vertical="center" wrapText="1"/>
    </xf>
    <xf numFmtId="3" fontId="1" fillId="2" borderId="0" xfId="0" applyNumberFormat="1" applyFont="1" applyFill="1" applyBorder="1" applyAlignment="1">
      <alignment horizontal="right" vertical="center"/>
    </xf>
    <xf numFmtId="0" fontId="1" fillId="2" borderId="0" xfId="0" applyFont="1" applyFill="1" applyBorder="1" applyAlignment="1">
      <alignment horizontal="left" vertical="center"/>
    </xf>
    <xf numFmtId="49" fontId="0" fillId="0" borderId="0" xfId="0" applyNumberFormat="1" applyBorder="1" applyAlignment="1">
      <alignment horizontal="left" vertical="top" wrapText="1"/>
    </xf>
    <xf numFmtId="49" fontId="0" fillId="2" borderId="0" xfId="0" applyNumberFormat="1" applyFill="1" applyAlignment="1">
      <alignment horizontal="left" vertical="top" wrapText="1"/>
    </xf>
    <xf numFmtId="0" fontId="2" fillId="10" borderId="2" xfId="0" applyFont="1" applyFill="1" applyBorder="1" applyAlignment="1" applyProtection="1">
      <alignment horizontal="center"/>
      <protection locked="0"/>
    </xf>
    <xf numFmtId="0" fontId="2" fillId="10" borderId="8" xfId="0" applyFont="1" applyFill="1" applyBorder="1" applyAlignment="1">
      <alignment horizontal="left" wrapText="1"/>
    </xf>
    <xf numFmtId="49" fontId="0" fillId="2" borderId="21" xfId="0" applyNumberFormat="1" applyFill="1" applyBorder="1" applyAlignment="1">
      <alignment vertical="center"/>
    </xf>
    <xf numFmtId="3" fontId="0" fillId="2" borderId="22" xfId="0" applyNumberFormat="1" applyFill="1" applyBorder="1" applyAlignment="1">
      <alignment vertical="center"/>
    </xf>
    <xf numFmtId="0" fontId="0" fillId="2" borderId="22" xfId="0" applyFill="1" applyBorder="1" applyAlignment="1">
      <alignment horizontal="left" vertical="center"/>
    </xf>
    <xf numFmtId="0" fontId="2" fillId="2" borderId="19" xfId="0" applyFont="1" applyFill="1" applyBorder="1" applyAlignment="1">
      <alignment vertical="center"/>
    </xf>
    <xf numFmtId="0" fontId="2" fillId="2" borderId="0" xfId="0" applyNumberFormat="1" applyFont="1" applyFill="1" applyBorder="1" applyAlignment="1">
      <alignment horizontal="right" vertical="center"/>
    </xf>
    <xf numFmtId="49" fontId="2" fillId="2" borderId="0" xfId="0" applyNumberFormat="1" applyFont="1" applyFill="1" applyBorder="1" applyAlignment="1">
      <alignment vertical="center"/>
    </xf>
    <xf numFmtId="0" fontId="13" fillId="2" borderId="20" xfId="0" applyNumberFormat="1" applyFont="1" applyFill="1" applyBorder="1" applyAlignment="1">
      <alignment vertical="center" wrapText="1"/>
    </xf>
    <xf numFmtId="3" fontId="2" fillId="2" borderId="0" xfId="0" applyNumberFormat="1" applyFont="1" applyFill="1" applyBorder="1" applyAlignment="1">
      <alignment horizontal="right" vertical="center"/>
    </xf>
    <xf numFmtId="0" fontId="2" fillId="2" borderId="20" xfId="0" applyFont="1" applyFill="1" applyBorder="1" applyAlignment="1">
      <alignment vertical="center" wrapText="1"/>
    </xf>
    <xf numFmtId="3" fontId="2" fillId="3" borderId="0" xfId="0" applyNumberFormat="1" applyFont="1" applyFill="1" applyBorder="1" applyAlignment="1" applyProtection="1">
      <alignment horizontal="right" vertical="center"/>
      <protection locked="0"/>
    </xf>
    <xf numFmtId="1" fontId="2" fillId="2" borderId="0" xfId="0" applyNumberFormat="1" applyFont="1" applyFill="1" applyBorder="1" applyAlignment="1">
      <alignment horizontal="right" vertical="center"/>
    </xf>
    <xf numFmtId="167" fontId="2" fillId="0" borderId="0" xfId="0" applyNumberFormat="1" applyFont="1" applyBorder="1" applyAlignment="1">
      <alignment horizontal="right" vertical="center"/>
    </xf>
    <xf numFmtId="49" fontId="2" fillId="2" borderId="19" xfId="0" applyNumberFormat="1" applyFont="1" applyFill="1" applyBorder="1" applyAlignment="1">
      <alignment vertical="center"/>
    </xf>
    <xf numFmtId="0" fontId="2" fillId="2" borderId="0" xfId="0" applyFont="1" applyFill="1" applyBorder="1" applyAlignment="1">
      <alignment horizontal="left" vertical="center"/>
    </xf>
    <xf numFmtId="49" fontId="0" fillId="2" borderId="21" xfId="0" applyNumberFormat="1" applyFill="1" applyBorder="1" applyAlignment="1">
      <alignment vertical="center" wrapText="1"/>
    </xf>
    <xf numFmtId="0" fontId="12" fillId="2" borderId="23" xfId="0" applyFont="1" applyFill="1" applyBorder="1" applyAlignment="1">
      <alignment horizontal="left" vertical="center" wrapText="1"/>
    </xf>
    <xf numFmtId="49" fontId="2" fillId="2" borderId="19" xfId="0" applyNumberFormat="1" applyFont="1" applyFill="1" applyBorder="1" applyAlignment="1">
      <alignment horizontal="left" vertical="center" wrapText="1"/>
    </xf>
    <xf numFmtId="172" fontId="2" fillId="0" borderId="0" xfId="0" applyNumberFormat="1" applyFont="1" applyFill="1" applyBorder="1" applyAlignment="1">
      <alignment horizontal="right" vertical="center" wrapText="1"/>
    </xf>
    <xf numFmtId="0" fontId="13" fillId="2" borderId="20" xfId="0" applyNumberFormat="1" applyFont="1" applyFill="1" applyBorder="1" applyAlignment="1">
      <alignment horizontal="left" vertical="center" wrapText="1"/>
    </xf>
    <xf numFmtId="49" fontId="2" fillId="2" borderId="0" xfId="0" applyNumberFormat="1" applyFont="1" applyFill="1" applyAlignment="1">
      <alignment horizontal="left" vertical="top" wrapText="1"/>
    </xf>
    <xf numFmtId="3" fontId="2" fillId="2" borderId="0" xfId="0" applyNumberFormat="1" applyFont="1" applyFill="1" applyBorder="1" applyAlignment="1">
      <alignment horizontal="right" vertical="center" wrapText="1"/>
    </xf>
    <xf numFmtId="1" fontId="0" fillId="2" borderId="19" xfId="0" applyNumberFormat="1" applyFill="1" applyBorder="1" applyAlignment="1">
      <alignment horizontal="left" vertical="top" wrapText="1"/>
    </xf>
    <xf numFmtId="0" fontId="2" fillId="2" borderId="19" xfId="0" applyFont="1" applyFill="1" applyBorder="1" applyAlignment="1">
      <alignment horizontal="left" vertical="center" wrapText="1"/>
    </xf>
    <xf numFmtId="0" fontId="26" fillId="2" borderId="19" xfId="0" applyFont="1" applyFill="1" applyBorder="1" applyAlignment="1">
      <alignment vertical="center" wrapText="1"/>
    </xf>
    <xf numFmtId="49" fontId="26" fillId="2" borderId="19" xfId="0" applyNumberFormat="1" applyFont="1" applyFill="1" applyBorder="1" applyAlignment="1">
      <alignment horizontal="left" vertical="center" wrapText="1"/>
    </xf>
    <xf numFmtId="0" fontId="27" fillId="12" borderId="3" xfId="0" applyFont="1" applyFill="1" applyBorder="1" applyAlignment="1">
      <alignment horizontal="center" vertical="center" wrapText="1"/>
    </xf>
    <xf numFmtId="0" fontId="26" fillId="11" borderId="3" xfId="0" applyFont="1" applyFill="1" applyBorder="1" applyAlignment="1">
      <alignment horizontal="left" wrapText="1"/>
    </xf>
    <xf numFmtId="0" fontId="0" fillId="13" borderId="27" xfId="0" applyFill="1" applyBorder="1" applyAlignment="1">
      <alignment horizontal="left" wrapText="1"/>
    </xf>
    <xf numFmtId="0" fontId="0" fillId="13" borderId="30" xfId="0" applyFill="1" applyBorder="1" applyAlignment="1">
      <alignment horizontal="left" wrapText="1"/>
    </xf>
    <xf numFmtId="0" fontId="26" fillId="11" borderId="4" xfId="0" applyFont="1" applyFill="1" applyBorder="1" applyAlignment="1">
      <alignment horizontal="left" wrapText="1"/>
    </xf>
    <xf numFmtId="0" fontId="26" fillId="13" borderId="0" xfId="0" applyFont="1" applyFill="1" applyBorder="1" applyAlignment="1">
      <alignment horizontal="left" wrapText="1"/>
    </xf>
    <xf numFmtId="0" fontId="26" fillId="13" borderId="13" xfId="0" applyFont="1" applyFill="1" applyBorder="1" applyAlignment="1">
      <alignment horizontal="left" wrapText="1"/>
    </xf>
    <xf numFmtId="0" fontId="26" fillId="13" borderId="15" xfId="0" applyFont="1" applyFill="1" applyBorder="1" applyAlignment="1">
      <alignment horizontal="left" wrapText="1"/>
    </xf>
    <xf numFmtId="0" fontId="26" fillId="2" borderId="0" xfId="0" applyFont="1" applyFill="1" applyAlignment="1"/>
    <xf numFmtId="0" fontId="0" fillId="11" borderId="3" xfId="0" applyFont="1" applyFill="1" applyBorder="1" applyAlignment="1">
      <alignment horizontal="left" wrapText="1"/>
    </xf>
    <xf numFmtId="0" fontId="0" fillId="13" borderId="0" xfId="0" applyFont="1" applyFill="1" applyBorder="1" applyAlignment="1">
      <alignment horizontal="left" wrapText="1"/>
    </xf>
    <xf numFmtId="0" fontId="0" fillId="11" borderId="38" xfId="0" applyFont="1" applyFill="1" applyBorder="1" applyAlignment="1">
      <alignment horizontal="left" wrapText="1"/>
    </xf>
    <xf numFmtId="0" fontId="0" fillId="11" borderId="34" xfId="0" applyFont="1" applyFill="1" applyBorder="1" applyAlignment="1">
      <alignment horizontal="left" wrapText="1"/>
    </xf>
    <xf numFmtId="0" fontId="0" fillId="11" borderId="32" xfId="0" applyFont="1" applyFill="1" applyBorder="1" applyAlignment="1">
      <alignment horizontal="left" wrapText="1"/>
    </xf>
    <xf numFmtId="0" fontId="0" fillId="13" borderId="29" xfId="0" applyFont="1" applyFill="1" applyBorder="1" applyAlignment="1">
      <alignment horizontal="left" wrapText="1"/>
    </xf>
    <xf numFmtId="0" fontId="0" fillId="11" borderId="6" xfId="0" applyFont="1" applyFill="1" applyBorder="1" applyAlignment="1">
      <alignment horizontal="left" wrapText="1"/>
    </xf>
    <xf numFmtId="49" fontId="0" fillId="2" borderId="0" xfId="0" applyNumberFormat="1" applyFill="1" applyAlignment="1">
      <alignment horizontal="left" wrapText="1"/>
    </xf>
    <xf numFmtId="0" fontId="5" fillId="4" borderId="24" xfId="0" applyFont="1" applyFill="1" applyBorder="1" applyAlignment="1" applyProtection="1">
      <alignment horizontal="center"/>
    </xf>
    <xf numFmtId="0" fontId="5" fillId="4" borderId="25" xfId="0" applyFont="1" applyFill="1" applyBorder="1" applyAlignment="1" applyProtection="1">
      <alignment horizontal="center"/>
    </xf>
    <xf numFmtId="0" fontId="5" fillId="4" borderId="26" xfId="0" applyFont="1" applyFill="1" applyBorder="1" applyAlignment="1" applyProtection="1">
      <alignment horizontal="center"/>
    </xf>
    <xf numFmtId="0" fontId="5" fillId="5" borderId="24" xfId="0" applyFont="1" applyFill="1" applyBorder="1" applyAlignment="1" applyProtection="1">
      <alignment horizontal="center"/>
      <protection locked="0"/>
    </xf>
    <xf numFmtId="0" fontId="5" fillId="5" borderId="25" xfId="0" applyFont="1" applyFill="1" applyBorder="1" applyAlignment="1" applyProtection="1">
      <alignment horizontal="center"/>
      <protection locked="0"/>
    </xf>
    <xf numFmtId="0" fontId="5" fillId="5" borderId="26" xfId="0" applyFont="1" applyFill="1" applyBorder="1" applyAlignment="1" applyProtection="1">
      <alignment horizontal="center"/>
      <protection locked="0"/>
    </xf>
    <xf numFmtId="0" fontId="5" fillId="6" borderId="24" xfId="0" applyFont="1" applyFill="1" applyBorder="1" applyAlignment="1" applyProtection="1">
      <alignment horizontal="center"/>
      <protection locked="0"/>
    </xf>
    <xf numFmtId="0" fontId="5" fillId="6" borderId="25" xfId="0" applyFont="1" applyFill="1" applyBorder="1" applyAlignment="1" applyProtection="1">
      <alignment horizontal="center"/>
      <protection locked="0"/>
    </xf>
    <xf numFmtId="0" fontId="5" fillId="6" borderId="26" xfId="0" applyFont="1" applyFill="1" applyBorder="1" applyAlignment="1" applyProtection="1">
      <alignment horizontal="center"/>
      <protection locked="0"/>
    </xf>
    <xf numFmtId="0" fontId="12" fillId="2" borderId="20" xfId="0" applyNumberFormat="1" applyFont="1" applyFill="1" applyBorder="1" applyAlignment="1">
      <alignment horizontal="left" vertical="center" wrapText="1"/>
    </xf>
    <xf numFmtId="0" fontId="26" fillId="2" borderId="19" xfId="0" applyFont="1" applyFill="1" applyBorder="1" applyAlignment="1">
      <alignment horizontal="left" vertical="center" wrapText="1"/>
    </xf>
    <xf numFmtId="0" fontId="27" fillId="0" borderId="0" xfId="0" applyFont="1" applyFill="1" applyBorder="1" applyAlignment="1">
      <alignment horizontal="center" vertical="top" wrapText="1"/>
    </xf>
    <xf numFmtId="1" fontId="0" fillId="2" borderId="19" xfId="0" applyNumberFormat="1" applyFill="1" applyBorder="1" applyAlignment="1">
      <alignment horizontal="left" vertical="top" wrapText="1"/>
    </xf>
    <xf numFmtId="49" fontId="0" fillId="2" borderId="0" xfId="0" applyNumberFormat="1" applyFill="1" applyAlignment="1">
      <alignment horizontal="left" vertical="top" wrapText="1"/>
    </xf>
    <xf numFmtId="0" fontId="5" fillId="4" borderId="24" xfId="0" applyFont="1" applyFill="1" applyBorder="1" applyAlignment="1" applyProtection="1">
      <alignment horizontal="center" vertical="top" wrapText="1"/>
      <protection locked="0"/>
    </xf>
    <xf numFmtId="0" fontId="5" fillId="4" borderId="25" xfId="0" applyFont="1" applyFill="1" applyBorder="1" applyAlignment="1" applyProtection="1">
      <alignment horizontal="center" vertical="top" wrapText="1"/>
      <protection locked="0"/>
    </xf>
    <xf numFmtId="0" fontId="5" fillId="4" borderId="26" xfId="0" applyFont="1" applyFill="1" applyBorder="1" applyAlignment="1" applyProtection="1">
      <alignment horizontal="center" vertical="top" wrapText="1"/>
      <protection locked="0"/>
    </xf>
    <xf numFmtId="0" fontId="12" fillId="2" borderId="20" xfId="0" applyFont="1" applyFill="1" applyBorder="1" applyAlignment="1">
      <alignment horizontal="left" vertical="center" wrapText="1"/>
    </xf>
    <xf numFmtId="0" fontId="1" fillId="13" borderId="7" xfId="0" applyFont="1" applyFill="1" applyBorder="1" applyAlignment="1">
      <alignment horizontal="left" vertical="center" wrapText="1"/>
    </xf>
    <xf numFmtId="0" fontId="1" fillId="13" borderId="1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0" fillId="0" borderId="0" xfId="0" applyAlignment="1">
      <alignment horizontal="center"/>
    </xf>
  </cellXfs>
  <cellStyles count="24">
    <cellStyle name="Euro" xfId="6"/>
    <cellStyle name="Hipervínculo" xfId="4" builtinId="8"/>
    <cellStyle name="Millares [0] 2" xfId="18"/>
    <cellStyle name="Millares 10" xfId="17"/>
    <cellStyle name="Millares 11" xfId="19"/>
    <cellStyle name="Millares 12" xfId="20"/>
    <cellStyle name="Millares 13" xfId="21"/>
    <cellStyle name="Millares 14" xfId="22"/>
    <cellStyle name="Millares 15" xfId="5"/>
    <cellStyle name="Millares 2" xfId="2"/>
    <cellStyle name="Millares 3" xfId="8"/>
    <cellStyle name="Millares 4" xfId="11"/>
    <cellStyle name="Millares 5" xfId="12"/>
    <cellStyle name="Millares 6" xfId="13"/>
    <cellStyle name="Millares 7" xfId="14"/>
    <cellStyle name="Millares 8" xfId="15"/>
    <cellStyle name="Millares 9" xfId="16"/>
    <cellStyle name="Normal" xfId="0" builtinId="0"/>
    <cellStyle name="Normal 2" xfId="3"/>
    <cellStyle name="Normal 3" xfId="7"/>
    <cellStyle name="Normal 4" xfId="9"/>
    <cellStyle name="Normal 5" xfId="10"/>
    <cellStyle name="Porcentaje" xfId="1" builtinId="5"/>
    <cellStyle name="Porcentaje 2" xfId="23"/>
  </cellStyles>
  <dxfs count="3">
    <dxf>
      <font>
        <color rgb="FFFF0000"/>
      </font>
    </dxf>
    <dxf>
      <font>
        <color rgb="FFFF0000"/>
      </font>
    </dxf>
    <dxf>
      <font>
        <color rgb="FFFF0000"/>
      </font>
    </dxf>
  </dxfs>
  <tableStyles count="0" defaultTableStyle="TableStyleMedium9" defaultPivotStyle="PivotStyleLight16"/>
  <colors>
    <mruColors>
      <color rgb="FF00FFFF"/>
      <color rgb="FFAC75D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71816</xdr:colOff>
      <xdr:row>0</xdr:row>
      <xdr:rowOff>84667</xdr:rowOff>
    </xdr:from>
    <xdr:to>
      <xdr:col>1</xdr:col>
      <xdr:colOff>2303156</xdr:colOff>
      <xdr:row>0</xdr:row>
      <xdr:rowOff>997558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149" y="84667"/>
          <a:ext cx="2231340" cy="9128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0</xdr:row>
      <xdr:rowOff>105832</xdr:rowOff>
    </xdr:from>
    <xdr:to>
      <xdr:col>1</xdr:col>
      <xdr:colOff>2326591</xdr:colOff>
      <xdr:row>0</xdr:row>
      <xdr:rowOff>1018723</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584" y="105832"/>
          <a:ext cx="2231340" cy="9128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83343</xdr:colOff>
      <xdr:row>0</xdr:row>
      <xdr:rowOff>214312</xdr:rowOff>
    </xdr:from>
    <xdr:to>
      <xdr:col>1</xdr:col>
      <xdr:colOff>2314683</xdr:colOff>
      <xdr:row>0</xdr:row>
      <xdr:rowOff>1127203</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5343" y="214312"/>
          <a:ext cx="2231340" cy="9128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52916</xdr:colOff>
      <xdr:row>0</xdr:row>
      <xdr:rowOff>95250</xdr:rowOff>
    </xdr:from>
    <xdr:to>
      <xdr:col>1</xdr:col>
      <xdr:colOff>2284256</xdr:colOff>
      <xdr:row>0</xdr:row>
      <xdr:rowOff>1008141</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999" y="95250"/>
          <a:ext cx="2231340" cy="9128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mites.gub.uy/ampliados?id=0011" TargetMode="External"/><Relationship Id="rId2" Type="http://schemas.openxmlformats.org/officeDocument/2006/relationships/hyperlink" Target="http://comap.mef.gub.uy/568/7/areas/comision-de-aplicacion-de-la-ley-de-inversiones---uruguay.html" TargetMode="External"/><Relationship Id="rId1" Type="http://schemas.openxmlformats.org/officeDocument/2006/relationships/hyperlink" Target="http://biovalor.gub.uy/descarga/ficha-tecnica-digestion-anaerobi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tramites.gub.uy/ampliados?id=0011" TargetMode="External"/><Relationship Id="rId2" Type="http://schemas.openxmlformats.org/officeDocument/2006/relationships/hyperlink" Target="http://comap.mef.gub.uy/568/7/areas/comision-de-aplicacion-de-la-ley-de-inversiones---uruguay.html" TargetMode="External"/><Relationship Id="rId1" Type="http://schemas.openxmlformats.org/officeDocument/2006/relationships/hyperlink" Target="http://biovalor.gub.uy/descarga/ficha-tecnica-digestion-anaerobia/"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tramites.gub.uy/ampliados?id=0011" TargetMode="External"/><Relationship Id="rId2" Type="http://schemas.openxmlformats.org/officeDocument/2006/relationships/hyperlink" Target="http://comap.mef.gub.uy/568/7/areas/comision-de-aplicacion-de-la-ley-de-inversiones---uruguay.html" TargetMode="External"/><Relationship Id="rId1" Type="http://schemas.openxmlformats.org/officeDocument/2006/relationships/hyperlink" Target="http://biovalor.gub.uy/descarga/ficha-tecnica-combustibles-alternativos/"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mgap.gub.uy/unidad-organizativa/direccion-general-de-servicios-agricolas/normativa/23-10-2018/resolucion-de-dgsa" TargetMode="External"/><Relationship Id="rId2" Type="http://schemas.openxmlformats.org/officeDocument/2006/relationships/hyperlink" Target="http://comap.mef.gub.uy/568/7/areas/comision-de-aplicacion-de-la-ley-de-inversiones---uruguay.html" TargetMode="External"/><Relationship Id="rId1" Type="http://schemas.openxmlformats.org/officeDocument/2006/relationships/hyperlink" Target="http://biovalor.gub.uy/descarga/ficha-tecnica-compostaje/"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biovalor.gub.uy/descarga/ficha-tecnica-de-residuos-por-sector-bodegas/" TargetMode="External"/><Relationship Id="rId3" Type="http://schemas.openxmlformats.org/officeDocument/2006/relationships/hyperlink" Target="http://biovalor.gub.uy/descarga/ficha-tecnica-de-residuos-tambos/" TargetMode="External"/><Relationship Id="rId7" Type="http://schemas.openxmlformats.org/officeDocument/2006/relationships/hyperlink" Target="http://biovalor.gub.uy/descarga/ficha-tecnica-de-residuos-curtiembres/" TargetMode="External"/><Relationship Id="rId2" Type="http://schemas.openxmlformats.org/officeDocument/2006/relationships/hyperlink" Target="http://biovalor.gub.uy/descarga/ficha-tecnica-frigorificos/" TargetMode="External"/><Relationship Id="rId1" Type="http://schemas.openxmlformats.org/officeDocument/2006/relationships/hyperlink" Target="http://biovalor.gub.uy/descarga/ficha-tecnica-de-residuos-engorde-a-corral/" TargetMode="External"/><Relationship Id="rId6" Type="http://schemas.openxmlformats.org/officeDocument/2006/relationships/hyperlink" Target="http://biovalor.gub.uy/descarga/ficha-tecnica-de-residuos-oleaginosa-olivos/" TargetMode="External"/><Relationship Id="rId11" Type="http://schemas.openxmlformats.org/officeDocument/2006/relationships/comments" Target="../comments1.xml"/><Relationship Id="rId5" Type="http://schemas.openxmlformats.org/officeDocument/2006/relationships/hyperlink" Target="http://biovalor.gub.uy/descarga/ficha-tecnica-de-residuos-cria-de-aves/" TargetMode="External"/><Relationship Id="rId10" Type="http://schemas.openxmlformats.org/officeDocument/2006/relationships/vmlDrawing" Target="../drawings/vmlDrawing1.vml"/><Relationship Id="rId4" Type="http://schemas.openxmlformats.org/officeDocument/2006/relationships/hyperlink" Target="http://biovalor.gub.uy/descarga/ficha-tecnica-de-residuos-cria-de-aves/" TargetMode="External"/><Relationship Id="rId9"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O58"/>
  <sheetViews>
    <sheetView tabSelected="1" topLeftCell="A4" zoomScale="85" zoomScaleNormal="85" workbookViewId="0">
      <selection activeCell="C9" sqref="C9"/>
    </sheetView>
  </sheetViews>
  <sheetFormatPr baseColWidth="10" defaultRowHeight="15" x14ac:dyDescent="0.25"/>
  <cols>
    <col min="1" max="1" width="4.42578125" style="8" customWidth="1"/>
    <col min="2" max="2" width="47.140625" style="323" customWidth="1"/>
    <col min="3" max="3" width="35.7109375" style="316" bestFit="1" customWidth="1"/>
    <col min="4" max="4" width="27.5703125" style="323" customWidth="1"/>
    <col min="5" max="5" width="89.28515625" style="333" customWidth="1"/>
    <col min="6" max="7" width="8.5703125" style="8" customWidth="1"/>
    <col min="8" max="8" width="31.140625" style="8" customWidth="1"/>
    <col min="9" max="10" width="17.140625" style="8" customWidth="1"/>
    <col min="11" max="11" width="6.42578125" style="8" customWidth="1"/>
    <col min="12" max="12" width="9.140625" style="8" customWidth="1"/>
    <col min="13" max="13" width="38.28515625" style="8" customWidth="1"/>
    <col min="14" max="14" width="33.42578125" style="8" customWidth="1"/>
    <col min="15" max="15" width="7.85546875" style="8" customWidth="1"/>
    <col min="16" max="16" width="13.5703125" style="8" customWidth="1"/>
    <col min="17" max="17" width="15.85546875" style="8" customWidth="1"/>
    <col min="18" max="18" width="13.5703125" style="8" customWidth="1"/>
    <col min="19" max="19" width="13.42578125" style="8" customWidth="1"/>
    <col min="20" max="20" width="12.140625" style="8" customWidth="1"/>
    <col min="21" max="21" width="12.42578125" style="8" customWidth="1"/>
    <col min="22" max="22" width="11.42578125" style="8" customWidth="1"/>
    <col min="23" max="23" width="31.85546875" style="8" customWidth="1"/>
    <col min="24" max="25" width="11.42578125" style="8" customWidth="1"/>
    <col min="26" max="16384" width="11.42578125" style="8"/>
  </cols>
  <sheetData>
    <row r="1" spans="2:15" s="3" customFormat="1" ht="82.5" customHeight="1" x14ac:dyDescent="0.25">
      <c r="B1" s="463"/>
      <c r="C1" s="463"/>
      <c r="D1" s="463"/>
      <c r="E1" s="463"/>
      <c r="G1" s="13"/>
      <c r="J1" s="13"/>
      <c r="K1" s="13"/>
      <c r="L1" s="13"/>
      <c r="M1" s="13"/>
      <c r="N1" s="13"/>
      <c r="O1" s="13"/>
    </row>
    <row r="2" spans="2:15" s="3" customFormat="1" x14ac:dyDescent="0.25">
      <c r="B2" s="463" t="s">
        <v>219</v>
      </c>
      <c r="C2" s="463"/>
      <c r="D2" s="463"/>
      <c r="E2" s="463"/>
      <c r="G2" s="13"/>
      <c r="J2" s="7"/>
      <c r="K2" s="13"/>
      <c r="L2" s="13"/>
      <c r="M2" s="13"/>
      <c r="N2" s="13"/>
      <c r="O2" s="13"/>
    </row>
    <row r="3" spans="2:15" s="3" customFormat="1" x14ac:dyDescent="0.25">
      <c r="B3" s="463" t="s">
        <v>218</v>
      </c>
      <c r="C3" s="463"/>
      <c r="D3" s="463"/>
      <c r="E3" s="463"/>
      <c r="G3" s="13"/>
      <c r="J3" s="7"/>
      <c r="K3" s="13"/>
      <c r="L3" s="13"/>
      <c r="M3" s="13"/>
      <c r="N3" s="13"/>
      <c r="O3" s="13"/>
    </row>
    <row r="4" spans="2:15" s="3" customFormat="1" ht="15.75" thickBot="1" x14ac:dyDescent="0.3">
      <c r="B4" s="300"/>
      <c r="C4" s="299"/>
      <c r="D4" s="300"/>
      <c r="E4" s="318"/>
      <c r="G4" s="13"/>
      <c r="J4" s="7"/>
      <c r="K4" s="13"/>
      <c r="L4" s="13"/>
      <c r="M4" s="13"/>
      <c r="N4" s="13"/>
      <c r="O4" s="13"/>
    </row>
    <row r="5" spans="2:15" s="3" customFormat="1" ht="19.5" thickBot="1" x14ac:dyDescent="0.35">
      <c r="B5" s="464" t="s">
        <v>81</v>
      </c>
      <c r="C5" s="465"/>
      <c r="D5" s="465"/>
      <c r="E5" s="466"/>
      <c r="G5" s="13"/>
      <c r="J5" s="7"/>
      <c r="K5" s="13"/>
      <c r="L5" s="13"/>
      <c r="M5" s="13"/>
      <c r="N5" s="13"/>
      <c r="O5" s="13"/>
    </row>
    <row r="6" spans="2:15" s="3" customFormat="1" x14ac:dyDescent="0.25">
      <c r="B6" s="301" t="s">
        <v>293</v>
      </c>
      <c r="C6" s="302" t="s">
        <v>8</v>
      </c>
      <c r="D6" s="303"/>
      <c r="E6" s="334"/>
      <c r="G6" s="13"/>
      <c r="J6" s="10"/>
      <c r="K6" s="13"/>
      <c r="L6" s="13"/>
      <c r="M6" s="13"/>
      <c r="N6" s="13"/>
      <c r="O6" s="13"/>
    </row>
    <row r="7" spans="2:15" s="3" customFormat="1" x14ac:dyDescent="0.25">
      <c r="B7" s="304" t="s">
        <v>292</v>
      </c>
      <c r="C7" s="305" t="s">
        <v>21</v>
      </c>
      <c r="D7" s="306"/>
      <c r="E7" s="325"/>
      <c r="G7" s="13"/>
      <c r="J7" s="10"/>
      <c r="K7" s="13"/>
      <c r="L7" s="13"/>
      <c r="M7" s="13"/>
      <c r="N7" s="13"/>
      <c r="O7" s="13"/>
    </row>
    <row r="8" spans="2:15" s="3" customFormat="1" ht="21.75" customHeight="1" x14ac:dyDescent="0.25">
      <c r="B8" s="304" t="s">
        <v>291</v>
      </c>
      <c r="C8" s="307">
        <v>24000</v>
      </c>
      <c r="D8" s="308" t="str">
        <f>VLOOKUP(C6,Parámetros!A4:B15,2,FALSE)</f>
        <v>Gallinas ponedoras / año</v>
      </c>
      <c r="E8" s="326" t="str">
        <f>IF(VLOOKUP(C6&amp;C7,Comentarios!C4:N29,2,FALSE)="","",VLOOKUP(C6&amp;C7,Comentarios!C4:N29,2,FALSE))</f>
        <v>Se asume un sistema de confinamiento de aves en jaulas. Indicar la cantidad promedio anual de aves ponedoras.</v>
      </c>
      <c r="G8" s="13"/>
      <c r="J8" s="10"/>
      <c r="K8" s="13"/>
      <c r="L8" s="13"/>
      <c r="M8" s="13"/>
      <c r="N8" s="13"/>
      <c r="O8" s="13"/>
    </row>
    <row r="9" spans="2:15" s="3" customFormat="1" x14ac:dyDescent="0.25">
      <c r="B9" s="309"/>
      <c r="C9" s="310"/>
      <c r="D9" s="310"/>
      <c r="E9" s="327"/>
      <c r="G9" s="13"/>
      <c r="J9" s="10"/>
      <c r="K9" s="13"/>
      <c r="L9" s="13"/>
      <c r="M9" s="13"/>
      <c r="N9" s="13"/>
      <c r="O9" s="13"/>
    </row>
    <row r="10" spans="2:15" s="3" customFormat="1" x14ac:dyDescent="0.25">
      <c r="B10" s="304" t="s">
        <v>290</v>
      </c>
      <c r="C10" s="311">
        <f>IF(OR(VLOOKUP(C6&amp;C7,Parámetros!F3:W27,5,FALSE)="",VLOOKUP(C6&amp;C7,Parámetros!F3:W27,6,FALSE)=""),"Aún no contamos con datos para este residuo",VLOOKUP(C6&amp;C7,Parámetros!F3:W27,5,FALSE)*C8)</f>
        <v>1051.2</v>
      </c>
      <c r="D10" s="308" t="s">
        <v>42</v>
      </c>
      <c r="E10" s="326" t="str">
        <f>IF(VLOOKUP(C6&amp;C7,Comentarios!C4:N29,3,FALSE)="","",VLOOKUP(C6&amp;C7,Comentarios!C4:N29,3,FALSE))</f>
        <v>Tasa de generación de residuos de 0,038 kg/gallina·día en base seca, con una relación 1:1 de consumo de ración:deyecciones.</v>
      </c>
      <c r="G10" s="13"/>
      <c r="J10" s="10"/>
      <c r="K10" s="13"/>
      <c r="L10" s="13"/>
      <c r="M10" s="13"/>
      <c r="N10" s="13"/>
      <c r="O10" s="13"/>
    </row>
    <row r="11" spans="2:15" s="3" customFormat="1" ht="22.5" x14ac:dyDescent="0.25">
      <c r="B11" s="304" t="s">
        <v>289</v>
      </c>
      <c r="C11" s="311">
        <f>IF(OR(VLOOKUP(C6&amp;C7,Parámetros!F3:W27,5,FALSE)="",VLOOKUP(C6&amp;C7,Parámetros!F3:W27,6,FALSE)=""),"Aún no contamos con datos para este residuo",100-VLOOKUP(C6&amp;C7,Parámetros!F3:W27,6,FALSE))</f>
        <v>66</v>
      </c>
      <c r="D11" s="308" t="s">
        <v>54</v>
      </c>
      <c r="E11" s="326" t="str">
        <f>IF(VLOOKUP(C6&amp;C7,Comentarios!C4:N29,4,FALSE)="","",VLOOKUP(C6&amp;C7,Comentarios!C4:N29,4,FALSE))</f>
        <v>Humedad del estiércol fresco tal como se obtiene en los sistema de recolección en cinta transportadora. La humedad final del residuo depende del manejo implementado.</v>
      </c>
      <c r="G11" s="13"/>
      <c r="J11" s="10"/>
      <c r="K11" s="13"/>
      <c r="L11" s="13"/>
      <c r="M11" s="13"/>
      <c r="N11" s="13"/>
      <c r="O11" s="13"/>
    </row>
    <row r="12" spans="2:15" s="3" customFormat="1" x14ac:dyDescent="0.25">
      <c r="B12" s="304"/>
      <c r="C12" s="312"/>
      <c r="D12" s="308"/>
      <c r="E12" s="326"/>
      <c r="G12" s="13"/>
      <c r="J12" s="10"/>
      <c r="K12" s="13"/>
      <c r="L12" s="13"/>
      <c r="M12" s="13"/>
      <c r="N12" s="13"/>
      <c r="O12" s="13"/>
    </row>
    <row r="13" spans="2:15" s="3" customFormat="1" ht="33.75" x14ac:dyDescent="0.25">
      <c r="B13" s="425" t="s">
        <v>75</v>
      </c>
      <c r="C13" s="311">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residuos",C10*VLOOKUP(C6&amp;C7,Parámetros!F3:W27,6,FALSE)/100*VLOOKUP(C6&amp;C7,Parámetros!F3:W27,7,FALSE)/100*VLOOKUP(C6&amp;C7,Parámetros!F3:W27,8,FALSE)*Parámetros!Z6/100*(1-Parámetros!Z5/100)/VLOOKUP(C6&amp;C7,Parámetros!F3:W27,4,FALSE)*100/Parámetros!Z4))</f>
        <v>218.31264000000002</v>
      </c>
      <c r="D13" s="308" t="s">
        <v>287</v>
      </c>
      <c r="E13" s="326" t="str">
        <f>IF(VLOOKUP(C6&amp;C7,Comentarios!C4:N29,5,FALSE)="","",VLOOKUP(C6&amp;C7,Comentarios!C4:N29,5,FALSE))</f>
        <v>Se asume biodigestor del tipo laguna cubierta, con un tiempo de retención hidráulica no menor a 30 días y un contenido de sólidos totales menor a 5 %, logrando una metanización del 75 %.
Se recomienda que la digestión anaerobia de este residuo sea realizada en conjunto con otras corrientes de residuos.</v>
      </c>
      <c r="G13" s="13"/>
      <c r="H13" s="10"/>
      <c r="J13" s="10"/>
    </row>
    <row r="14" spans="2:15" s="3" customFormat="1" ht="22.5" x14ac:dyDescent="0.25">
      <c r="B14" s="304" t="s">
        <v>76</v>
      </c>
      <c r="C14" s="311">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residuos",Parámetros!Z9/100*C13*Parámetros!Z7*Parámetros!Z4/100))</f>
        <v>453.87197856</v>
      </c>
      <c r="D14" s="308" t="s">
        <v>78</v>
      </c>
      <c r="E14" s="326" t="str">
        <f>IF(VLOOKUP(C6&amp;C7,Comentarios!C4:N29,6,FALSE)="","",VLOOKUP(C6&amp;C7,Comentarios!C4:N29,6,FALSE))</f>
        <v>Se asume ingreso al régimen de mircogeneración (Decreto 173/010).  Se asume la cogeneración de energía térmica calefacción del biodigestor.</v>
      </c>
      <c r="G14" s="13"/>
      <c r="H14" s="10"/>
      <c r="J14" s="10"/>
    </row>
    <row r="15" spans="2:15" s="3" customFormat="1" x14ac:dyDescent="0.25">
      <c r="B15" s="304" t="s">
        <v>77</v>
      </c>
      <c r="C15" s="311">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residuos",C14/24))</f>
        <v>18.911332439999999</v>
      </c>
      <c r="D15" s="308" t="s">
        <v>79</v>
      </c>
      <c r="E15" s="328" t="str">
        <f>IF(VLOOKUP(C6&amp;C7,Comentarios!C4:N29,7,FALSE)="","",VLOOKUP(C6&amp;C7,Comentarios!C4:N29,7,FALSE))</f>
        <v>Cantidad de energía eléctrica generada distribuida en 24 horas por día.</v>
      </c>
      <c r="F15" s="12"/>
      <c r="G15" s="13"/>
      <c r="H15" s="10"/>
      <c r="I15" s="10"/>
      <c r="J15" s="10"/>
    </row>
    <row r="16" spans="2:15" s="3" customFormat="1" x14ac:dyDescent="0.25">
      <c r="B16" s="309"/>
      <c r="C16" s="311"/>
      <c r="D16" s="308"/>
      <c r="E16" s="326"/>
      <c r="F16" s="12"/>
      <c r="G16" s="13"/>
      <c r="H16" s="10"/>
      <c r="I16" s="10"/>
      <c r="J16" s="10"/>
    </row>
    <row r="17" spans="2:10" s="3" customFormat="1" x14ac:dyDescent="0.25">
      <c r="B17" s="445" t="s">
        <v>388</v>
      </c>
      <c r="C17" s="336">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residuos",1000*C10/VLOOKUP(C6&amp;C7,Parámetros!F3:W27,4,FALSE)*VLOOKUP(C6&amp;C7,Parámetros!F3:W27,6,FALSE)/100*(1-(1-Parámetros!Z11/100)*VLOOKUP(C6&amp;C7,Parámetros!F3:W27,7,FALSE)/100)))</f>
        <v>597.31200000000001</v>
      </c>
      <c r="D17" s="310" t="s">
        <v>150</v>
      </c>
      <c r="E17" s="328" t="str">
        <f>IF(VLOOKUP(C6&amp;C7,Comentarios!C4:N29,8,FALSE)="","",VLOOKUP(C6&amp;C7,Comentarios!C4:N29,8,FALSE))</f>
        <v>Se asume una degradación del 40 % de los sólidos volátiles que ingresan al biodigestor.</v>
      </c>
      <c r="F17" s="12"/>
      <c r="G17" s="13"/>
      <c r="J17" s="10"/>
    </row>
    <row r="18" spans="2:10" s="3" customFormat="1" x14ac:dyDescent="0.25">
      <c r="B18" s="445" t="s">
        <v>389</v>
      </c>
      <c r="C18" s="426" t="str">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residuos",FIXED(1000*C10*VLOOKUP(C6&amp;C7,Parámetros!F3:W27,6,FALSE)/100*VLOOKUP(C6&amp;C7,Parámetros!F3:W27,13,FALSE)/100/1000,1,FALSE)&amp;" / "&amp;FIXED(1000*C10*VLOOKUP(C6&amp;C7,Parámetros!F3:W27,6,FALSE)/100*VLOOKUP(C6&amp;C7,Parámetros!F3:W27,14,FALSE)/100/0.44/1000,1,FALSE)))</f>
        <v>13,2 / 16,2</v>
      </c>
      <c r="D18" s="427" t="s">
        <v>295</v>
      </c>
      <c r="E18" s="428" t="str">
        <f>IF(VLOOKUP(C6&amp;C7,Comentarios!C4:N29,9,FALSE)="","",VLOOKUP(C6&amp;C7,Comentarios!C4:N29,9,FALSE))</f>
        <v>Se asume que el contenido de nitrógeno y fósforo presente en los residuos permanece en el digestado.</v>
      </c>
      <c r="F18" s="12"/>
      <c r="G18" s="13"/>
      <c r="H18" s="10"/>
      <c r="I18" s="10"/>
    </row>
    <row r="19" spans="2:10" s="3" customFormat="1" x14ac:dyDescent="0.25">
      <c r="B19" s="425"/>
      <c r="C19" s="429"/>
      <c r="D19" s="306"/>
      <c r="E19" s="430"/>
      <c r="F19" s="12"/>
      <c r="G19" s="13"/>
      <c r="H19" s="10"/>
      <c r="I19" s="10"/>
      <c r="J19" s="8"/>
    </row>
    <row r="20" spans="2:10" s="3" customFormat="1" x14ac:dyDescent="0.25">
      <c r="B20" s="425" t="s">
        <v>155</v>
      </c>
      <c r="C20" s="431">
        <v>70</v>
      </c>
      <c r="D20" s="306" t="s">
        <v>88</v>
      </c>
      <c r="E20" s="325" t="str">
        <f>IF(VLOOKUP(C6&amp;C7,Comentarios!C4:N29,10,FALSE)="","",VLOOKUP(C6&amp;C7,Comentarios!C4:N29,10,FALSE))</f>
        <v xml:space="preserve">La potencia del motogenerador debe ser menor a la potencia contratada del establecimiento productivo. </v>
      </c>
      <c r="G20" s="13"/>
      <c r="H20" s="10"/>
      <c r="I20" s="10"/>
      <c r="J20" s="10"/>
    </row>
    <row r="21" spans="2:10" s="3" customFormat="1" ht="22.5" x14ac:dyDescent="0.25">
      <c r="B21" s="425" t="s">
        <v>156</v>
      </c>
      <c r="C21" s="432">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residuos",IF(C14/C20&lt;=24,C14/C20,"Seleccione un valor mayor de potencia de motogenerador")))</f>
        <v>6.4838854079999999</v>
      </c>
      <c r="D21" s="306" t="s">
        <v>87</v>
      </c>
      <c r="E21" s="325" t="str">
        <f>IF(VLOOKUP(C6&amp;C7,Comentarios!C4:N29,11,FALSE)="","",VLOOKUP(C6&amp;C7,Comentarios!C4:N29,11,FALSE))</f>
        <v>Se busca maximizar la cantidad de energía que se inyecta dentro de las 4 horas del horario punta, en el que el precio de la energía es mayor.</v>
      </c>
      <c r="G21" s="13"/>
      <c r="H21" s="10"/>
      <c r="I21" s="10"/>
      <c r="J21" s="10"/>
    </row>
    <row r="22" spans="2:10" s="3" customFormat="1" x14ac:dyDescent="0.25">
      <c r="B22" s="425" t="s">
        <v>288</v>
      </c>
      <c r="C22" s="433">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residuos",IF(C21&lt;=4,Parámetros!Z16/Parámetros!AE11,IF(C21&lt;=17,(Parámetros!Z16*4+Parámetros!Z15*('Biogás   Energía eléctrica'!C21-4))/Parámetros!AE11/'Biogás   Energía eléctrica'!C21,(4*Parámetros!Z16+13*Parámetros!Z15+(17-'Biogás   Energía eléctrica'!C21)*Parámetros!Z14)/Parámetros!AE11/'Biogás   Energía eléctrica'!C21))))</f>
        <v>0.22081675922904134</v>
      </c>
      <c r="D22" s="306" t="s">
        <v>369</v>
      </c>
      <c r="E22" s="325" t="str">
        <f>IF(VLOOKUP(C6&amp;C7,Comentarios!C4:N29,12,FALSE)="","",VLOOKUP(C6&amp;C7,Comentarios!C4:N29,12,FALSE))</f>
        <v>Se asume tarifa de la energía eléctrica para mediano consumidor (MC1).</v>
      </c>
      <c r="H22" s="10"/>
      <c r="I22" s="10"/>
    </row>
    <row r="23" spans="2:10" s="3" customFormat="1" ht="22.5" x14ac:dyDescent="0.25">
      <c r="B23" s="434" t="s">
        <v>157</v>
      </c>
      <c r="C23" s="429">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residuos",C14*C22*365))</f>
        <v>36581.22688482963</v>
      </c>
      <c r="D23" s="435" t="s">
        <v>89</v>
      </c>
      <c r="E23" s="340" t="str">
        <f>IF(VLOOKUP(C6&amp;C7,Comentarios!C4:O29,13,FALSE)="","",VLOOKUP(C6&amp;C7,Comentarios!C4:O29,13,FALSE))</f>
        <v>Se busca maximizar la cantidad de energía que se inyecta dentro de las 4 horas del horario punta, en el que el precio de la energía es mayor.</v>
      </c>
      <c r="H23" s="10"/>
      <c r="I23" s="10"/>
      <c r="J23" s="10"/>
    </row>
    <row r="24" spans="2:10" s="3" customFormat="1" x14ac:dyDescent="0.25">
      <c r="B24" s="309"/>
      <c r="C24" s="311"/>
      <c r="D24" s="10"/>
      <c r="E24" s="387"/>
      <c r="H24" s="10"/>
      <c r="I24" s="10"/>
      <c r="J24" s="10"/>
    </row>
    <row r="25" spans="2:10" s="3" customFormat="1" ht="25.5" customHeight="1" thickBot="1" x14ac:dyDescent="0.3">
      <c r="B25" s="422" t="s">
        <v>355</v>
      </c>
      <c r="C25" s="423">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residuos",Parámetros!Z5/(100-Parámetros!Z5)*'Biogás   Energía eléctrica'!C13*0.67*Parámetros!Z4/100*365*Parámetros!AE67+C10*VLOOKUP(C6&amp;C7,Parámetros!F3:W27,6,FALSE)/100*VLOOKUP(C6&amp;C7,Parámetros!F3:W27,7,FALSE)/100*(1-Parámetros!Z11/100)*VLOOKUP(C6&amp;C7,Parámetros!F3:W27,8,FALSE)*0.67*Parámetros!Z69/100*Parámetros!AE67+(1000*C10/VLOOKUP(C6&amp;C7,Parámetros!F3:W27,4,FALSE)*VLOOKUP(C6&amp;C7,Parámetros!F3:W27,6,FALSE)/100*VLOOKUP(C6&amp;C7,Parámetros!F3:W27,13,FALSE)/100)*Parámetros!Z70/100*Parámetros!Z71*44/28*365*Parámetros!AE68+(1000*C10/VLOOKUP(C6&amp;C7,Parámetros!F3:W27,4,FALSE)*VLOOKUP(C6&amp;C7,Parámetros!F3:W27,6,FALSE)/100*VLOOKUP(C6&amp;C7,Parámetros!F3:W27,13,FALSE)/100)*Parámetros!Z72/100*Parámetros!Z73*44/28*365*Parámetros!AE68)-(C14*Parámetros!Z67*365/1000+(1000*C10/VLOOKUP(C6&amp;C7,Parámetros!F3:W27,4,FALSE)*VLOOKUP(C6&amp;C7,Parámetros!F3:W27,6,FALSE)/100*VLOOKUP(C6&amp;C7,Parámetros!F3:W27,13,FALSE)/100)*Parámetros!Z68*365/1000))</f>
        <v>8736.9621772155369</v>
      </c>
      <c r="D25" s="424" t="s">
        <v>311</v>
      </c>
      <c r="E25" s="437" t="str">
        <f>IF(VLOOKUP(C6&amp;C7,Comentarios!C4:P29,14,FALSE)="","",VLOOKUP(C6&amp;C7,Comentarios!C4:P29,14,FALSE))</f>
        <v>Se asumen las emisiones debido a fugas del biodigestor, a la volatilización y lixiviación de nitrógeno por aplicación del digestado, y las emisiones evitadas por sustitución de la matriz eléctrica y la sustitución de fertilizantes sintéticos.</v>
      </c>
      <c r="H25" s="10"/>
      <c r="I25" s="10"/>
      <c r="J25" s="10"/>
    </row>
    <row r="26" spans="2:10" s="3" customFormat="1" x14ac:dyDescent="0.25">
      <c r="B26" s="310"/>
      <c r="C26" s="386"/>
      <c r="D26" s="10"/>
      <c r="E26" s="369"/>
      <c r="H26" s="10"/>
      <c r="I26" s="10"/>
      <c r="J26" s="10"/>
    </row>
    <row r="27" spans="2:10" s="3" customFormat="1" hidden="1" x14ac:dyDescent="0.25">
      <c r="B27" s="310"/>
      <c r="C27" s="386"/>
      <c r="D27" s="10"/>
      <c r="E27" s="369"/>
      <c r="H27" s="10"/>
      <c r="I27" s="10"/>
      <c r="J27" s="10"/>
    </row>
    <row r="28" spans="2:10" s="3" customFormat="1" ht="18" hidden="1" x14ac:dyDescent="0.25">
      <c r="B28" s="310" t="s">
        <v>330</v>
      </c>
      <c r="C28" s="311">
        <f>Parámetros!Z5/(100-Parámetros!Z5)*'Biogás   Energía eléctrica'!C13*0.67*Parámetros!Z4/100*365*Parámetros!AE67</f>
        <v>16343.374320000001</v>
      </c>
      <c r="D28" s="70" t="s">
        <v>327</v>
      </c>
      <c r="E28" s="369"/>
      <c r="H28" s="10"/>
      <c r="I28" s="10"/>
      <c r="J28" s="10"/>
    </row>
    <row r="29" spans="2:10" s="3" customFormat="1" ht="30" hidden="1" x14ac:dyDescent="0.25">
      <c r="B29" s="411" t="s">
        <v>329</v>
      </c>
      <c r="C29" s="106">
        <f>C10*VLOOKUP(C6&amp;C7,Parámetros!F3:W27,6,FALSE)/100*VLOOKUP(C6&amp;C7,Parámetros!F3:W27,7,FALSE)/100*(1-Parámetros!Z11/100)*VLOOKUP(C6&amp;C7,Parámetros!F3:W27,8,FALSE)*0.67*Parámetros!Z69/100*Parámetros!AE67</f>
        <v>3268.6748639999996</v>
      </c>
      <c r="D29" s="70" t="s">
        <v>327</v>
      </c>
      <c r="E29" s="369"/>
      <c r="H29" s="10"/>
      <c r="I29" s="10"/>
      <c r="J29" s="10"/>
    </row>
    <row r="30" spans="2:10" s="116" customFormat="1" ht="30" hidden="1" x14ac:dyDescent="0.25">
      <c r="B30" s="411" t="s">
        <v>328</v>
      </c>
      <c r="C30" s="106">
        <f>(1000*C10/VLOOKUP(C6&amp;C7,Parámetros!F3:W27,4,FALSE)*VLOOKUP(C6&amp;C7,Parámetros!F3:W27,6,FALSE)/100*VLOOKUP(C6&amp;C7,Parámetros!F3:W27,13,FALSE)/100)*Parámetros!Z70/100*Parámetros!Z71*44/28*365*Parámetros!AE68</f>
        <v>4334.8586688000005</v>
      </c>
      <c r="D30" s="70" t="s">
        <v>327</v>
      </c>
      <c r="E30" s="369"/>
      <c r="H30" s="70"/>
      <c r="I30" s="70"/>
      <c r="J30" s="70"/>
    </row>
    <row r="31" spans="2:10" s="116" customFormat="1" ht="30" hidden="1" x14ac:dyDescent="0.25">
      <c r="B31" s="411" t="s">
        <v>336</v>
      </c>
      <c r="C31" s="106">
        <f>(1000*C10/VLOOKUP(C6&amp;C7,Parámetros!F3:W27,4,FALSE)*VLOOKUP(C6&amp;C7,Parámetros!F3:W27,6,FALSE)/100*VLOOKUP(C6&amp;C7,Parámetros!F3:W27,13,FALSE)/100)*Parámetros!Z72/100*Parámetros!Z73*44/28*365*Parámetros!AE68</f>
        <v>4644.4914308571433</v>
      </c>
      <c r="D31" s="70" t="s">
        <v>327</v>
      </c>
      <c r="E31" s="369"/>
      <c r="H31" s="70"/>
      <c r="I31" s="70"/>
      <c r="J31" s="70"/>
    </row>
    <row r="32" spans="2:10" s="116" customFormat="1" ht="18" hidden="1" x14ac:dyDescent="0.25">
      <c r="B32" s="116" t="s">
        <v>332</v>
      </c>
      <c r="C32" s="106">
        <f>-C14*Parámetros!Z67*365/1000</f>
        <v>-2319.2858104416</v>
      </c>
      <c r="D32" s="70" t="s">
        <v>327</v>
      </c>
      <c r="E32" s="369"/>
      <c r="H32" s="70"/>
      <c r="I32" s="70"/>
      <c r="J32" s="70"/>
    </row>
    <row r="33" spans="2:10" s="3" customFormat="1" ht="18" hidden="1" x14ac:dyDescent="0.25">
      <c r="B33" s="310" t="s">
        <v>331</v>
      </c>
      <c r="C33" s="106">
        <f>-(1000*C10/VLOOKUP(C6&amp;C7,Parámetros!F3:W27,4,FALSE)*VLOOKUP(C6&amp;C7,Parámetros!F3:W27,6,FALSE)/100*VLOOKUP(C6&amp;C7,Parámetros!F3:W27,13,FALSE)/100)*Parámetros!Z68*365/1000</f>
        <v>-17535.151296000004</v>
      </c>
      <c r="D33" s="70" t="s">
        <v>327</v>
      </c>
      <c r="E33" s="369"/>
      <c r="H33" s="10"/>
      <c r="I33" s="10"/>
      <c r="J33" s="10"/>
    </row>
    <row r="34" spans="2:10" s="3" customFormat="1" ht="18" hidden="1" x14ac:dyDescent="0.25">
      <c r="B34" s="412" t="s">
        <v>333</v>
      </c>
      <c r="C34" s="413">
        <f>SUM(C28:C33)</f>
        <v>8736.9621772155369</v>
      </c>
      <c r="D34" s="414" t="s">
        <v>334</v>
      </c>
      <c r="E34" s="369"/>
      <c r="H34" s="10"/>
      <c r="I34" s="10"/>
      <c r="J34" s="10"/>
    </row>
    <row r="35" spans="2:10" s="3" customFormat="1" x14ac:dyDescent="0.25">
      <c r="B35" s="310"/>
      <c r="C35" s="386"/>
      <c r="D35" s="10"/>
      <c r="E35" s="369"/>
      <c r="H35" s="10"/>
      <c r="I35" s="10"/>
      <c r="J35" s="10"/>
    </row>
    <row r="36" spans="2:10" s="3" customFormat="1" ht="22.5" customHeight="1" x14ac:dyDescent="0.25">
      <c r="B36" s="315" t="s">
        <v>220</v>
      </c>
      <c r="C36" s="12"/>
      <c r="D36" s="385"/>
      <c r="E36" s="318"/>
      <c r="H36" s="8"/>
      <c r="I36" s="8"/>
      <c r="J36" s="10"/>
    </row>
    <row r="37" spans="2:10" ht="22.5" customHeight="1" x14ac:dyDescent="0.25">
      <c r="B37" s="317" t="s">
        <v>221</v>
      </c>
    </row>
    <row r="38" spans="2:10" ht="22.5" customHeight="1" x14ac:dyDescent="0.25">
      <c r="B38" s="317" t="s">
        <v>222</v>
      </c>
    </row>
    <row r="39" spans="2:10" s="345" customFormat="1" ht="39.75" customHeight="1" x14ac:dyDescent="0.25">
      <c r="B39" s="463" t="s">
        <v>80</v>
      </c>
      <c r="C39" s="463"/>
      <c r="D39" s="463"/>
      <c r="E39" s="463"/>
    </row>
    <row r="40" spans="2:10" s="345" customFormat="1" ht="30" customHeight="1" x14ac:dyDescent="0.25">
      <c r="B40" s="463" t="s">
        <v>65</v>
      </c>
      <c r="C40" s="463"/>
      <c r="D40" s="463"/>
      <c r="E40" s="463"/>
    </row>
    <row r="41" spans="2:10" s="345" customFormat="1" ht="32.25" customHeight="1" x14ac:dyDescent="0.25">
      <c r="B41" s="463" t="s">
        <v>66</v>
      </c>
      <c r="C41" s="463"/>
      <c r="D41" s="463"/>
      <c r="E41" s="463"/>
    </row>
    <row r="42" spans="2:10" s="345" customFormat="1" ht="30" customHeight="1" x14ac:dyDescent="0.25">
      <c r="B42" s="463" t="s">
        <v>128</v>
      </c>
      <c r="C42" s="463"/>
      <c r="D42" s="463"/>
      <c r="E42" s="463"/>
    </row>
    <row r="43" spans="2:10" s="345" customFormat="1" ht="33" customHeight="1" x14ac:dyDescent="0.25">
      <c r="B43" s="463" t="s">
        <v>67</v>
      </c>
      <c r="C43" s="463"/>
      <c r="D43" s="463"/>
      <c r="E43" s="463"/>
    </row>
    <row r="46" spans="2:10" hidden="1" x14ac:dyDescent="0.25">
      <c r="B46" s="319" t="s">
        <v>0</v>
      </c>
      <c r="C46" s="320" t="s">
        <v>30</v>
      </c>
      <c r="D46" s="321" t="str">
        <f>VLOOKUP(C6,B47:C58,2,FALSE)</f>
        <v>ponedoras</v>
      </c>
    </row>
    <row r="47" spans="2:10" hidden="1" x14ac:dyDescent="0.25">
      <c r="B47" s="39" t="s">
        <v>3</v>
      </c>
      <c r="C47" s="322" t="s">
        <v>31</v>
      </c>
    </row>
    <row r="48" spans="2:10" hidden="1" x14ac:dyDescent="0.25">
      <c r="B48" s="39" t="s">
        <v>4</v>
      </c>
      <c r="C48" s="40" t="s">
        <v>32</v>
      </c>
    </row>
    <row r="49" spans="2:3" hidden="1" x14ac:dyDescent="0.25">
      <c r="B49" s="39" t="s">
        <v>6</v>
      </c>
      <c r="C49" s="40" t="s">
        <v>33</v>
      </c>
    </row>
    <row r="50" spans="2:3" hidden="1" x14ac:dyDescent="0.25">
      <c r="B50" s="39" t="s">
        <v>182</v>
      </c>
      <c r="C50" s="40" t="s">
        <v>34</v>
      </c>
    </row>
    <row r="51" spans="2:3" hidden="1" x14ac:dyDescent="0.25">
      <c r="B51" s="39" t="s">
        <v>183</v>
      </c>
      <c r="C51" s="40" t="s">
        <v>35</v>
      </c>
    </row>
    <row r="52" spans="2:3" hidden="1" x14ac:dyDescent="0.25">
      <c r="B52" s="41" t="s">
        <v>7</v>
      </c>
      <c r="C52" s="42" t="s">
        <v>71</v>
      </c>
    </row>
    <row r="53" spans="2:3" hidden="1" x14ac:dyDescent="0.25">
      <c r="B53" s="41" t="s">
        <v>8</v>
      </c>
      <c r="C53" s="42" t="s">
        <v>72</v>
      </c>
    </row>
    <row r="54" spans="2:3" hidden="1" x14ac:dyDescent="0.25">
      <c r="B54" s="41" t="s">
        <v>40</v>
      </c>
      <c r="C54" s="42" t="s">
        <v>73</v>
      </c>
    </row>
    <row r="55" spans="2:3" hidden="1" x14ac:dyDescent="0.25">
      <c r="B55" s="41" t="s">
        <v>9</v>
      </c>
      <c r="C55" s="42" t="s">
        <v>36</v>
      </c>
    </row>
    <row r="56" spans="2:3" hidden="1" x14ac:dyDescent="0.25">
      <c r="B56" s="41" t="s">
        <v>11</v>
      </c>
      <c r="C56" s="42" t="s">
        <v>37</v>
      </c>
    </row>
    <row r="57" spans="2:3" hidden="1" x14ac:dyDescent="0.25">
      <c r="B57" s="41" t="s">
        <v>12</v>
      </c>
      <c r="C57" s="42" t="s">
        <v>38</v>
      </c>
    </row>
    <row r="58" spans="2:3" hidden="1" x14ac:dyDescent="0.25">
      <c r="B58" s="43" t="s">
        <v>39</v>
      </c>
      <c r="C58" s="31" t="s">
        <v>41</v>
      </c>
    </row>
  </sheetData>
  <sheetProtection selectLockedCells="1"/>
  <mergeCells count="9">
    <mergeCell ref="B1:E1"/>
    <mergeCell ref="B2:E2"/>
    <mergeCell ref="B43:E43"/>
    <mergeCell ref="B3:E3"/>
    <mergeCell ref="B39:E39"/>
    <mergeCell ref="B40:E40"/>
    <mergeCell ref="B41:E41"/>
    <mergeCell ref="B42:E42"/>
    <mergeCell ref="B5:E5"/>
  </mergeCells>
  <conditionalFormatting sqref="E13">
    <cfRule type="expression" dxfId="2" priority="1">
      <formula>$C$13="No se recomienda esta alternativa de valorización para esta corriente de residuos"</formula>
    </cfRule>
  </conditionalFormatting>
  <dataValidations xWindow="627" yWindow="360" count="3">
    <dataValidation allowBlank="1" showErrorMessage="1" sqref="C8"/>
    <dataValidation type="list" allowBlank="1" showErrorMessage="1" errorTitle="Sector no válido" error="Seleccione un sector de la lista desplegable." sqref="C6">
      <formula1>$B$47:$B$58</formula1>
    </dataValidation>
    <dataValidation type="list" allowBlank="1" showErrorMessage="1" errorTitle="Corriente de residuos no válida" error="Seleccione una corriente de residuos de la lista desplegable." sqref="C7">
      <formula1>INDIRECT($D$46)</formula1>
    </dataValidation>
  </dataValidations>
  <hyperlinks>
    <hyperlink ref="B36" r:id="rId1"/>
    <hyperlink ref="B37" r:id="rId2"/>
    <hyperlink ref="B38" r:id="rId3"/>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O58"/>
  <sheetViews>
    <sheetView topLeftCell="A10" zoomScale="90" zoomScaleNormal="90" workbookViewId="0">
      <selection activeCell="C22" sqref="C22"/>
    </sheetView>
  </sheetViews>
  <sheetFormatPr baseColWidth="10" defaultRowHeight="15" x14ac:dyDescent="0.25"/>
  <cols>
    <col min="1" max="1" width="4.42578125" style="8" customWidth="1"/>
    <col min="2" max="2" width="46" style="323" customWidth="1"/>
    <col min="3" max="3" width="35.7109375" style="316" bestFit="1" customWidth="1"/>
    <col min="4" max="4" width="29" style="323" customWidth="1"/>
    <col min="5" max="5" width="96" style="333" customWidth="1"/>
    <col min="6" max="7" width="11.42578125" style="8"/>
    <col min="8" max="8" width="35.28515625" style="8" customWidth="1"/>
    <col min="9" max="10" width="17.140625" style="8" customWidth="1"/>
    <col min="11" max="11" width="6.42578125" style="8" customWidth="1"/>
    <col min="12" max="12" width="9.140625" style="8" customWidth="1"/>
    <col min="13" max="13" width="38.28515625" style="8" customWidth="1"/>
    <col min="14" max="14" width="33.42578125" style="8" customWidth="1"/>
    <col min="15" max="15" width="6.28515625" style="8" customWidth="1"/>
    <col min="16" max="16" width="13.5703125" style="8" customWidth="1"/>
    <col min="17" max="17" width="15.85546875" style="8" customWidth="1"/>
    <col min="18" max="18" width="13.5703125" style="8" customWidth="1"/>
    <col min="19" max="19" width="13.42578125" style="8" customWidth="1"/>
    <col min="20" max="20" width="12.140625" style="8" customWidth="1"/>
    <col min="21" max="21" width="12.42578125" style="8" customWidth="1"/>
    <col min="22" max="22" width="11.42578125" style="8" customWidth="1"/>
    <col min="23" max="23" width="31.85546875" style="8" customWidth="1"/>
    <col min="24" max="25" width="11.42578125" style="8" customWidth="1"/>
    <col min="26" max="16384" width="11.42578125" style="8"/>
  </cols>
  <sheetData>
    <row r="1" spans="2:15" ht="85.5" customHeight="1" x14ac:dyDescent="0.25"/>
    <row r="2" spans="2:15" s="3" customFormat="1" x14ac:dyDescent="0.25">
      <c r="B2" s="463" t="s">
        <v>219</v>
      </c>
      <c r="C2" s="463"/>
      <c r="D2" s="463"/>
      <c r="E2" s="463"/>
    </row>
    <row r="3" spans="2:15" s="3" customFormat="1" ht="18.75" x14ac:dyDescent="0.3">
      <c r="B3" s="463" t="s">
        <v>218</v>
      </c>
      <c r="C3" s="463"/>
      <c r="D3" s="463"/>
      <c r="E3" s="463"/>
      <c r="K3" s="13"/>
      <c r="L3" s="283"/>
      <c r="M3" s="13"/>
      <c r="N3" s="13"/>
      <c r="O3" s="13"/>
    </row>
    <row r="4" spans="2:15" s="3" customFormat="1" ht="15.75" thickBot="1" x14ac:dyDescent="0.3">
      <c r="B4" s="300"/>
      <c r="C4" s="299"/>
      <c r="D4" s="300"/>
      <c r="E4" s="318"/>
      <c r="J4" s="7"/>
      <c r="K4" s="13"/>
      <c r="L4" s="13"/>
      <c r="M4" s="13"/>
      <c r="N4" s="13"/>
      <c r="O4" s="13"/>
    </row>
    <row r="5" spans="2:15" s="3" customFormat="1" ht="19.5" thickBot="1" x14ac:dyDescent="0.35">
      <c r="B5" s="467" t="s">
        <v>82</v>
      </c>
      <c r="C5" s="468"/>
      <c r="D5" s="468"/>
      <c r="E5" s="469"/>
      <c r="J5" s="7"/>
      <c r="K5" s="14"/>
      <c r="L5" s="13"/>
      <c r="M5" s="13"/>
      <c r="N5" s="13"/>
      <c r="O5" s="13"/>
    </row>
    <row r="6" spans="2:15" s="3" customFormat="1" x14ac:dyDescent="0.25">
      <c r="B6" s="301" t="s">
        <v>293</v>
      </c>
      <c r="C6" s="302" t="s">
        <v>11</v>
      </c>
      <c r="D6" s="303"/>
      <c r="E6" s="324"/>
      <c r="J6" s="10"/>
      <c r="K6" s="13"/>
      <c r="L6" s="13"/>
      <c r="M6" s="13"/>
      <c r="N6" s="13"/>
      <c r="O6" s="13"/>
    </row>
    <row r="7" spans="2:15" s="3" customFormat="1" x14ac:dyDescent="0.25">
      <c r="B7" s="304" t="s">
        <v>292</v>
      </c>
      <c r="C7" s="305" t="s">
        <v>25</v>
      </c>
      <c r="D7" s="306"/>
      <c r="E7" s="325"/>
      <c r="J7" s="10"/>
      <c r="K7" s="14"/>
      <c r="L7" s="13"/>
      <c r="M7" s="13"/>
      <c r="N7" s="13"/>
      <c r="O7" s="13"/>
    </row>
    <row r="8" spans="2:15" s="3" customFormat="1" x14ac:dyDescent="0.25">
      <c r="B8" s="304" t="s">
        <v>291</v>
      </c>
      <c r="C8" s="307">
        <v>100</v>
      </c>
      <c r="D8" s="308" t="str">
        <f>VLOOKUP(C6,Parámetros!A4:B15,2,FALSE)</f>
        <v>m3 de aceite producidos / año</v>
      </c>
      <c r="E8" s="326" t="str">
        <f>IF(VLOOKUP(C6&amp;C7,Comentarios!C4:N29,2,FALSE)="","",VLOOKUP(C6&amp;C7,Comentarios!C4:N29,2,FALSE))</f>
        <v>Se asume una zafra anual de 120 días.</v>
      </c>
      <c r="J8" s="10"/>
      <c r="K8" s="13"/>
      <c r="L8" s="13"/>
      <c r="M8" s="13"/>
      <c r="N8" s="13"/>
      <c r="O8" s="13"/>
    </row>
    <row r="9" spans="2:15" s="3" customFormat="1" x14ac:dyDescent="0.25">
      <c r="B9" s="309"/>
      <c r="C9" s="310"/>
      <c r="D9" s="310"/>
      <c r="E9" s="327"/>
      <c r="J9" s="10"/>
      <c r="K9" s="14"/>
      <c r="L9" s="13"/>
      <c r="M9" s="13"/>
      <c r="N9" s="13"/>
      <c r="O9" s="13"/>
    </row>
    <row r="10" spans="2:15" s="3" customFormat="1" x14ac:dyDescent="0.25">
      <c r="B10" s="304" t="s">
        <v>290</v>
      </c>
      <c r="C10" s="311">
        <f>IF(OR(VLOOKUP(C6&amp;C7,Parámetros!F3:W27,5,FALSE)="",VLOOKUP(C6&amp;C7,Parámetros!F3:W27,6,FALSE)=""),"Aún no contamos con datos para este residuo",VLOOKUP(C6&amp;C7,Parámetros!F3:W27,5,FALSE)*C8)</f>
        <v>900</v>
      </c>
      <c r="D10" s="308" t="s">
        <v>42</v>
      </c>
      <c r="E10" s="326" t="str">
        <f>IF(VLOOKUP(C6&amp;C7,Comentarios!C4:N29,3,FALSE)="","",VLOOKUP(C6&amp;C7,Comentarios!C4:N29,3,FALSE))</f>
        <v>Tasa de generación de residuos de 2,7 kg/L de aceite producido en base seca, correspondiente añ añperujo sin descarozar.</v>
      </c>
      <c r="J10" s="10"/>
      <c r="K10" s="13"/>
      <c r="L10" s="13"/>
      <c r="M10" s="13"/>
      <c r="N10" s="13"/>
      <c r="O10" s="13"/>
    </row>
    <row r="11" spans="2:15" s="3" customFormat="1" ht="22.5" x14ac:dyDescent="0.25">
      <c r="B11" s="304" t="s">
        <v>289</v>
      </c>
      <c r="C11" s="311">
        <f>IF(OR(VLOOKUP(C6&amp;C7,Parámetros!F3:W27,5,FALSE)="",VLOOKUP(C6&amp;C7,Parámetros!F3:W27,6,FALSE)=""),"Aún no contamos con datos para este residuo",100-VLOOKUP(C6&amp;C7,Parámetros!F3:W27,6,FALSE))</f>
        <v>70</v>
      </c>
      <c r="D11" s="308" t="s">
        <v>54</v>
      </c>
      <c r="E11" s="326" t="str">
        <f>IF(VLOOKUP(C6&amp;C7,Comentarios!C4:N29,4,FALSE)="","",VLOOKUP(C6&amp;C7,Comentarios!C4:N29,4,FALSE))</f>
        <v>Humedad del alperujo tal como se obtiene del proceso de extracción de aceite. La humedad final del residuo depende del manejo implementado.</v>
      </c>
      <c r="J11" s="10"/>
      <c r="K11" s="14"/>
      <c r="L11" s="13"/>
      <c r="M11" s="13"/>
      <c r="N11" s="13"/>
      <c r="O11" s="13"/>
    </row>
    <row r="12" spans="2:15" s="3" customFormat="1" x14ac:dyDescent="0.25">
      <c r="B12" s="304"/>
      <c r="C12" s="310"/>
      <c r="D12" s="308"/>
      <c r="E12" s="326"/>
      <c r="J12" s="10"/>
      <c r="K12" s="13"/>
      <c r="L12" s="13"/>
      <c r="M12" s="13"/>
      <c r="N12" s="13"/>
      <c r="O12" s="13"/>
    </row>
    <row r="13" spans="2:15" s="3" customFormat="1" ht="22.5" x14ac:dyDescent="0.25">
      <c r="B13" s="425" t="s">
        <v>75</v>
      </c>
      <c r="C13" s="311">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residuos",C10*VLOOKUP(C6&amp;C7,Parámetros!F3:W27,6,FALSE)/100*VLOOKUP(C6&amp;C7,Parámetros!F3:W27,7,FALSE)/100*VLOOKUP(C6&amp;C7,Parámetros!F3:W27,8,FALSE)*Parámetros!Z6/100*(1-Parámetros!Z5/100)/VLOOKUP(C6&amp;C7,Parámetros!F3:M27,4,FALSE)*100/Parámetros!Z4))</f>
        <v>661.5</v>
      </c>
      <c r="D13" s="308" t="s">
        <v>287</v>
      </c>
      <c r="E13" s="326" t="str">
        <f>IF(VLOOKUP(C6&amp;C7,Comentarios!C4:N29,5,FALSE)="","",VLOOKUP(C6&amp;C7,Comentarios!C4:N29,5,FALSE))</f>
        <v>Se asume biodigestor del tipo laguna cubierta, con un tiempo de retención hidráulica no menor a 30 días y un contenido de sólidos totales menor a 5 %, logrando una metanización del 75 %.</v>
      </c>
      <c r="J13" s="10"/>
      <c r="K13" s="13"/>
      <c r="L13" s="13"/>
      <c r="M13" s="13"/>
      <c r="N13" s="13"/>
      <c r="O13" s="13"/>
    </row>
    <row r="14" spans="2:15" s="3" customFormat="1" ht="22.5" x14ac:dyDescent="0.25">
      <c r="B14" s="445" t="s">
        <v>391</v>
      </c>
      <c r="C14" s="311">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residuos",IF(OR(VLOOKUP(C6&amp;C7,Parámetros!F3:W27,7,FALSE)="",VLOOKUP(C6&amp;C7,Parámetros!F3:W27,8,FALSE)=""),"No se recomienda esta alternativa de valorización para esta corriente de residuos",Parámetros!Z10/100*C13*Parámetros!Z7*Parámetros!Z4/100)*(1-Parámetros!Z8/100)))</f>
        <v>3182.7411000000002</v>
      </c>
      <c r="D14" s="308" t="s">
        <v>78</v>
      </c>
      <c r="E14" s="326" t="str">
        <f>IF(VLOOKUP(C6&amp;C7,Comentarios!C4:R29,16,FALSE)="","",VLOOKUP(C6&amp;C7,Comentarios!C4:R29,16,FALSE))</f>
        <v xml:space="preserve">Es necesario contar con un consumo de energía térmica asociado al emprendimiento.
Se asume el uso del 10 % de la energía térmica generada en la calefacción del biodigestor. </v>
      </c>
      <c r="J14" s="10"/>
      <c r="K14" s="14"/>
      <c r="L14" s="13"/>
      <c r="M14" s="13"/>
      <c r="N14" s="13"/>
      <c r="O14" s="13"/>
    </row>
    <row r="15" spans="2:15" s="3" customFormat="1" x14ac:dyDescent="0.25">
      <c r="B15" s="425" t="s">
        <v>294</v>
      </c>
      <c r="C15" s="311">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residuos",C14/24))</f>
        <v>132.61421250000001</v>
      </c>
      <c r="D15" s="308" t="s">
        <v>79</v>
      </c>
      <c r="E15" s="326" t="str">
        <f>IF(VLOOKUP(C6&amp;C7,Comentarios!C4:S29,17,FALSE)="","",VLOOKUP(C6&amp;C7,Comentarios!C4:S29,17,FALSE))</f>
        <v>Cantidad de energía eléctrica generada distribuida en 24 horas por día.</v>
      </c>
      <c r="J15" s="10"/>
      <c r="K15" s="14"/>
      <c r="L15" s="13"/>
      <c r="M15" s="13"/>
      <c r="N15" s="13"/>
      <c r="O15" s="13"/>
    </row>
    <row r="16" spans="2:15" s="3" customFormat="1" x14ac:dyDescent="0.25">
      <c r="B16" s="425"/>
      <c r="C16" s="311"/>
      <c r="D16" s="308"/>
      <c r="E16" s="326"/>
      <c r="J16" s="10"/>
    </row>
    <row r="17" spans="2:10" s="3" customFormat="1" x14ac:dyDescent="0.25">
      <c r="B17" s="445" t="s">
        <v>388</v>
      </c>
      <c r="C17" s="311">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residuos",1000*C10/VLOOKUP(C6&amp;C7,Parámetros!F3:W27,4,FALSE)*VLOOKUP(C6&amp;C7,Parámetros!F3:W27,6,FALSE)/100*(1-(1-Parámetros!Z11/100)*VLOOKUP(C6&amp;C7,Parámetros!F3:W27,7,FALSE)/100)))</f>
        <v>954.00000000000011</v>
      </c>
      <c r="D17" s="310" t="s">
        <v>150</v>
      </c>
      <c r="E17" s="328" t="str">
        <f>IF(VLOOKUP(C6&amp;C7,Comentarios!C4:W29,8,FALSE)="","",VLOOKUP(C6&amp;C7,Comentarios!C4:W29,8,FALSE))</f>
        <v>Se asume una degradación del 40 % de los sólidos volátiles que ingresan al biodigestor.</v>
      </c>
      <c r="J17" s="10"/>
    </row>
    <row r="18" spans="2:10" s="3" customFormat="1" x14ac:dyDescent="0.25">
      <c r="B18" s="445" t="s">
        <v>389</v>
      </c>
      <c r="C18" s="429" t="str">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residuos",FIXED(1000*C10*VLOOKUP(C6&amp;C7,Parámetros!F3:W27,6,FALSE)/100*VLOOKUP(C6&amp;C7,Parámetros!F3:W27,13,FALSE)/100/1000,1,FALSE)&amp;" / "&amp;FIXED(1000*C10*VLOOKUP(C6&amp;C7,Parámetros!F3:W27,6,FALSE)/100*VLOOKUP(C6&amp;C7,Parámetros!F3:W27,14,FALSE)/100/1000/0.44,1,FALSE)))</f>
        <v>3,2 / 0,9</v>
      </c>
      <c r="D18" s="427" t="s">
        <v>295</v>
      </c>
      <c r="E18" s="428" t="str">
        <f>IF(VLOOKUP(C6&amp;C7,Comentarios!C4:W29,9,FALSE)="","",VLOOKUP(C6&amp;C7,Comentarios!C4:W29,9,FALSE))</f>
        <v>Se asume que el contenido de nitrógeno y fósforo presente en los residuos permanece en el digestado.</v>
      </c>
      <c r="J18" s="10"/>
    </row>
    <row r="19" spans="2:10" s="3" customFormat="1" x14ac:dyDescent="0.25">
      <c r="B19" s="304"/>
      <c r="C19" s="311"/>
      <c r="D19" s="308"/>
      <c r="E19" s="329"/>
      <c r="G19" s="13"/>
      <c r="H19" s="8"/>
      <c r="I19" s="8"/>
    </row>
    <row r="20" spans="2:10" s="3" customFormat="1" x14ac:dyDescent="0.25">
      <c r="B20" s="304" t="s">
        <v>139</v>
      </c>
      <c r="C20" s="314" t="s">
        <v>142</v>
      </c>
      <c r="D20" s="308"/>
      <c r="E20" s="329"/>
      <c r="H20" s="8"/>
      <c r="I20" s="8"/>
      <c r="J20" s="10"/>
    </row>
    <row r="21" spans="2:10" s="3" customFormat="1" x14ac:dyDescent="0.25">
      <c r="B21" s="304" t="s">
        <v>140</v>
      </c>
      <c r="C21" s="311">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residuos",IF(C20="Leña",C14/Parámetros!AE7/1000*VLOOKUP(C6&amp;C7,Parámetros!F3:W27,4,FALSE),IF(C20="Fuel-oil",C14/Parámetros!AE8/1000*VLOOKUP(C6&amp;C7,Parámetros!F3:W27,4,FALSE),IF(C20="Gas-oil",C14/Parámetros!AE9/1000*VLOOKUP(C6&amp;C7,Parámetros!F3:W27,4,FALSE))))))</f>
        <v>121.94410344827587</v>
      </c>
      <c r="D21" s="308" t="str">
        <f>IF(C20="Leña","ton/año",IF(C20="Fuel-oil","m3/año",IF(C20="Gas-oil","m3/año")))</f>
        <v>ton/año</v>
      </c>
      <c r="E21" s="326" t="str">
        <f>IF(VLOOKUP(C6&amp;C7,Comentarios!C4:T29,18,FALSE)="","",VLOOKUP(C6&amp;C7,Comentarios!C4:T29,18,FALSE))</f>
        <v>Cantidad de combustible sustituido en base a la energía equivalente del biogás generado.</v>
      </c>
      <c r="H21" s="8"/>
      <c r="I21" s="8"/>
      <c r="J21" s="10"/>
    </row>
    <row r="22" spans="2:10" s="3" customFormat="1" x14ac:dyDescent="0.25">
      <c r="B22" s="445" t="s">
        <v>390</v>
      </c>
      <c r="C22" s="311">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residuos",IF(C20="Leña",C21*Parámetros!AG7,IF(C20="Fuel-oil",C21*Parámetros!AG8*1000,IF(C20="Gas-oil",C21*Parámetros!AG9*1000)))))</f>
        <v>8292.1990344827591</v>
      </c>
      <c r="D22" s="308" t="s">
        <v>89</v>
      </c>
      <c r="E22" s="326" t="str">
        <f>IF(VLOOKUP(C6&amp;C7,Comentarios!C4:U29,19,FALSE)="","",VLOOKUP(C6&amp;C7,Comentarios!C4:U29,19,FALSE))</f>
        <v>Ahorro producido por sustitución de combustibles en base a la energía equivalente.</v>
      </c>
      <c r="H22" s="8"/>
      <c r="I22" s="8"/>
      <c r="J22" s="10"/>
    </row>
    <row r="23" spans="2:10" s="3" customFormat="1" x14ac:dyDescent="0.25">
      <c r="B23" s="304"/>
      <c r="C23" s="311"/>
      <c r="D23" s="308"/>
      <c r="E23" s="326"/>
      <c r="H23" s="8"/>
      <c r="I23" s="8"/>
      <c r="J23" s="10"/>
    </row>
    <row r="24" spans="2:10" s="3" customFormat="1" ht="30.75" customHeight="1" thickBot="1" x14ac:dyDescent="0.3">
      <c r="B24" s="422" t="s">
        <v>355</v>
      </c>
      <c r="C24" s="423">
        <f>IF(OR(VLOOKUP(C6&amp;C7,Parámetros!F3:W27,5,FALSE)="",VLOOKUP(C6&amp;C7,Parámetros!F3:W27,6,FALSE)=""),"Aún no contamos con datos para este residuo",IF(OR(VLOOKUP(C6&amp;C7,Parámetros!F3:W27,7,FALSE)="",VLOOKUP(C6&amp;C7,Parámetros!F3:W27,8,FALSE)=""),"No se recomienda esta alternativa de valorización para esta corriente de residuos",Parámetros!Z5/(100-Parámetros!Z5)*C13*0.67*Parámetros!Z4/100*365*Parámetros!AE67+C10*VLOOKUP(C6&amp;C7,Parámetros!F3:W27,6,FALSE)/100*VLOOKUP(C6&amp;C7,Parámetros!F3:W27,7,FALSE)/100*(1-Parámetros!Z11/100)*VLOOKUP(C6&amp;C7,Parámetros!F3:W27,8,FALSE)*0.67*Parámetros!Z69/100*Parámetros!AE67+(1000*C10/VLOOKUP(C6&amp;C7,Parámetros!F3:W27,4,FALSE)*VLOOKUP(C6&amp;C7,Parámetros!F3:W27,6,FALSE)/100*VLOOKUP(C6&amp;C7,Parámetros!F3:W27,13,FALSE)/100)*Parámetros!Z70/100*Parámetros!Z71*44/28*365*Parámetros!AE68+(1000*C10/VLOOKUP(C6&amp;C7,Parámetros!F3:W27,4,FALSE)*VLOOKUP(C6&amp;C7,Parámetros!F3:W27,6,FALSE)/100*VLOOKUP(C6&amp;C7,Parámetros!F3:W27,13,FALSE)/100)*Parámetros!Z72/100*Parámetros!Z73*44/28*365*Parámetros!AE68)-(C21*VLOOKUP(C20,Parámetros!Y75:Z77,2,FALSE)+(1000*C10/VLOOKUP(C6&amp;C7,Parámetros!F3:W27,4,FALSE)*VLOOKUP(C6&amp;C7,Parámetros!F3:W27,6,FALSE)/100*VLOOKUP(C6&amp;C7,Parámetros!F3:W27,13,FALSE)/100)*Parámetros!Z68*365/1000))</f>
        <v>46507.798189285713</v>
      </c>
      <c r="D24" s="424" t="s">
        <v>311</v>
      </c>
      <c r="E24" s="437" t="str">
        <f>IF(VLOOKUP(C6&amp;C7,Comentarios!C3:V28,20,FALSE)="","",VLOOKUP(C6&amp;C7,Comentarios!C3:V28,20,FALSE))</f>
        <v>Se asumen las emisiones debido a fugas del biodigestor, a la volatilización y lixiviación de nitrógeno por aplicación del digestado, y las emisiones evitadas por sustitución de combustibles y la sustitución de fertilizantes sintéticos.</v>
      </c>
      <c r="H24" s="8"/>
      <c r="I24" s="8"/>
      <c r="J24" s="10"/>
    </row>
    <row r="25" spans="2:10" s="3" customFormat="1" ht="30.75" customHeight="1" x14ac:dyDescent="0.25">
      <c r="B25" s="310"/>
      <c r="C25" s="390"/>
      <c r="D25" s="10"/>
      <c r="E25" s="369"/>
      <c r="H25" s="8"/>
      <c r="I25" s="8"/>
      <c r="J25" s="10"/>
    </row>
    <row r="26" spans="2:10" s="392" customFormat="1" ht="18" hidden="1" x14ac:dyDescent="0.25">
      <c r="B26" s="411" t="s">
        <v>330</v>
      </c>
      <c r="C26" s="311">
        <f>Parámetros!Z5/(100-Parámetros!Z5)*C13*0.67*Parámetros!Z4/100*365*Parámetros!AE67</f>
        <v>49521.375000000007</v>
      </c>
      <c r="D26" s="10" t="s">
        <v>327</v>
      </c>
      <c r="E26" s="391"/>
      <c r="H26" s="393"/>
      <c r="I26" s="393"/>
      <c r="J26" s="10"/>
    </row>
    <row r="27" spans="2:10" s="392" customFormat="1" ht="30" hidden="1" x14ac:dyDescent="0.25">
      <c r="B27" s="411" t="s">
        <v>329</v>
      </c>
      <c r="C27" s="311">
        <f>C10*VLOOKUP(C6&amp;C7,Parámetros!F3:W27,6,FALSE)/100*VLOOKUP(C6&amp;C7,Parámetros!F3:W27,7,FALSE)/100*(1-Parámetros!Z11/100)*VLOOKUP(C6&amp;C7,Parámetros!F3:W27,8,FALSE)*0.67*Parámetros!Z69/100*Parámetros!AE67</f>
        <v>3256.1999999999989</v>
      </c>
      <c r="D27" s="10" t="s">
        <v>327</v>
      </c>
      <c r="H27" s="393"/>
      <c r="I27" s="393"/>
      <c r="J27" s="10"/>
    </row>
    <row r="28" spans="2:10" s="392" customFormat="1" ht="30" hidden="1" x14ac:dyDescent="0.25">
      <c r="B28" s="411" t="s">
        <v>328</v>
      </c>
      <c r="C28" s="311">
        <f>(1000*C10/VLOOKUP(C6&amp;C7,Parámetros!F3:W27,4,FALSE)*VLOOKUP(C6&amp;C7,Parámetros!F3:W27,6,FALSE)/100*VLOOKUP(C6&amp;C7,Parámetros!F3:W27,13,FALSE)/100)*Parámetros!Z70/100*Parámetros!Z71*44/28*365*Parámetros!AE68</f>
        <v>3176.6278500000003</v>
      </c>
      <c r="D28" s="10" t="s">
        <v>327</v>
      </c>
      <c r="E28" s="391"/>
      <c r="H28" s="393"/>
      <c r="I28" s="393"/>
      <c r="J28" s="10"/>
    </row>
    <row r="29" spans="2:10" s="392" customFormat="1" ht="30" hidden="1" x14ac:dyDescent="0.25">
      <c r="B29" s="411" t="s">
        <v>336</v>
      </c>
      <c r="C29" s="311">
        <f>(1000*C10/VLOOKUP(C6&amp;C7,Parámetros!F3:W27,4,FALSE)*VLOOKUP(C6&amp;C7,Parámetros!F3:W27,6,FALSE)/100*VLOOKUP(C6&amp;C7,Parámetros!F3:W27,13,FALSE)/100)*Parámetros!Z72/100*Parámetros!Z73*44/28*365*Parámetros!AE68</f>
        <v>3403.5298392857139</v>
      </c>
      <c r="D29" s="10" t="s">
        <v>327</v>
      </c>
      <c r="E29" s="391"/>
      <c r="H29" s="393"/>
      <c r="I29" s="393"/>
      <c r="J29" s="10"/>
    </row>
    <row r="30" spans="2:10" s="392" customFormat="1" ht="18" hidden="1" x14ac:dyDescent="0.25">
      <c r="B30" s="116" t="s">
        <v>335</v>
      </c>
      <c r="C30" s="311">
        <f>-C21*VLOOKUP(C20,Parámetros!Y75:Z77,2,FALSE)</f>
        <v>0</v>
      </c>
      <c r="D30" s="10" t="s">
        <v>327</v>
      </c>
      <c r="E30" s="391"/>
      <c r="H30" s="393"/>
      <c r="I30" s="393"/>
      <c r="J30" s="10"/>
    </row>
    <row r="31" spans="2:10" s="392" customFormat="1" ht="18" hidden="1" x14ac:dyDescent="0.25">
      <c r="B31" s="411" t="s">
        <v>331</v>
      </c>
      <c r="C31" s="311">
        <f>-(1000*C10/VLOOKUP(C6&amp;C7,Parámetros!F3:W27,4,FALSE)*VLOOKUP(C6&amp;C7,Parámetros!F3:W27,6,FALSE)/100*VLOOKUP(C6&amp;C7,Parámetros!F3:W27,13,FALSE)/100)*Parámetros!Z68*365/1000</f>
        <v>-12849.934500000001</v>
      </c>
      <c r="D31" s="10" t="s">
        <v>327</v>
      </c>
      <c r="E31" s="391"/>
      <c r="H31" s="393"/>
      <c r="I31" s="393"/>
      <c r="J31" s="10"/>
    </row>
    <row r="32" spans="2:10" s="392" customFormat="1" ht="18" hidden="1" x14ac:dyDescent="0.25">
      <c r="B32" s="415" t="s">
        <v>333</v>
      </c>
      <c r="C32" s="416">
        <f>SUM(C26:C31)</f>
        <v>46507.798189285713</v>
      </c>
      <c r="D32" s="417" t="s">
        <v>334</v>
      </c>
      <c r="E32" s="391"/>
      <c r="H32" s="393"/>
      <c r="I32" s="393"/>
      <c r="J32" s="10"/>
    </row>
    <row r="33" spans="2:11" s="3" customFormat="1" ht="31.5" hidden="1" customHeight="1" x14ac:dyDescent="0.25">
      <c r="B33" s="308"/>
      <c r="C33" s="311"/>
      <c r="D33" s="308"/>
      <c r="E33" s="330"/>
      <c r="H33" s="8"/>
      <c r="I33" s="8"/>
      <c r="J33" s="10"/>
    </row>
    <row r="34" spans="2:11" s="3" customFormat="1" ht="22.5" customHeight="1" x14ac:dyDescent="0.25">
      <c r="B34" s="315" t="s">
        <v>220</v>
      </c>
      <c r="C34" s="315"/>
      <c r="D34" s="315"/>
      <c r="E34" s="331"/>
      <c r="H34" s="8"/>
      <c r="I34" s="8"/>
    </row>
    <row r="35" spans="2:11" s="3" customFormat="1" ht="22.5" customHeight="1" x14ac:dyDescent="0.25">
      <c r="B35" s="317" t="s">
        <v>221</v>
      </c>
      <c r="C35" s="317"/>
      <c r="D35" s="317"/>
      <c r="E35" s="332"/>
      <c r="H35" s="8"/>
      <c r="I35" s="8"/>
      <c r="J35" s="8"/>
      <c r="K35" s="8"/>
    </row>
    <row r="36" spans="2:11" s="3" customFormat="1" ht="22.5" customHeight="1" x14ac:dyDescent="0.25">
      <c r="B36" s="317" t="s">
        <v>222</v>
      </c>
      <c r="C36" s="317"/>
      <c r="D36" s="317"/>
      <c r="E36" s="332"/>
      <c r="H36" s="8"/>
      <c r="I36" s="8"/>
      <c r="J36" s="8"/>
      <c r="K36" s="8"/>
    </row>
    <row r="37" spans="2:11" s="3" customFormat="1" ht="22.5" customHeight="1" x14ac:dyDescent="0.25">
      <c r="B37" s="317"/>
      <c r="C37" s="317"/>
      <c r="D37" s="317"/>
      <c r="E37" s="332"/>
      <c r="H37" s="8"/>
      <c r="I37" s="8"/>
      <c r="J37" s="8"/>
      <c r="K37" s="8"/>
    </row>
    <row r="38" spans="2:11" s="345" customFormat="1" ht="30.75" customHeight="1" x14ac:dyDescent="0.25">
      <c r="B38" s="463" t="s">
        <v>80</v>
      </c>
      <c r="C38" s="463"/>
      <c r="D38" s="463"/>
      <c r="E38" s="463"/>
    </row>
    <row r="39" spans="2:11" s="345" customFormat="1" ht="30" customHeight="1" x14ac:dyDescent="0.25">
      <c r="B39" s="463" t="s">
        <v>65</v>
      </c>
      <c r="C39" s="463"/>
      <c r="D39" s="463"/>
      <c r="E39" s="463"/>
    </row>
    <row r="40" spans="2:11" s="345" customFormat="1" ht="32.25" customHeight="1" x14ac:dyDescent="0.25">
      <c r="B40" s="463" t="s">
        <v>66</v>
      </c>
      <c r="C40" s="463"/>
      <c r="D40" s="463"/>
      <c r="E40" s="463"/>
    </row>
    <row r="41" spans="2:11" s="345" customFormat="1" ht="30" customHeight="1" x14ac:dyDescent="0.25">
      <c r="B41" s="463" t="s">
        <v>128</v>
      </c>
      <c r="C41" s="463"/>
      <c r="D41" s="463"/>
      <c r="E41" s="463"/>
    </row>
    <row r="42" spans="2:11" s="345" customFormat="1" ht="33" customHeight="1" x14ac:dyDescent="0.25">
      <c r="B42" s="463" t="s">
        <v>67</v>
      </c>
      <c r="C42" s="463"/>
      <c r="D42" s="463"/>
      <c r="E42" s="463"/>
    </row>
    <row r="43" spans="2:11" ht="30.75" customHeight="1" x14ac:dyDescent="0.25">
      <c r="B43" s="463"/>
      <c r="C43" s="463"/>
      <c r="D43" s="463"/>
      <c r="E43" s="463"/>
    </row>
    <row r="44" spans="2:11" ht="31.5" hidden="1" customHeight="1" x14ac:dyDescent="0.25">
      <c r="B44" s="319" t="s">
        <v>0</v>
      </c>
      <c r="C44" s="320" t="s">
        <v>30</v>
      </c>
      <c r="D44" s="321" t="str">
        <f>VLOOKUP(C6,B45:C56,2,FALSE)</f>
        <v>olivicola</v>
      </c>
      <c r="E44" s="318"/>
    </row>
    <row r="45" spans="2:11" ht="17.25" hidden="1" customHeight="1" x14ac:dyDescent="0.25">
      <c r="B45" s="39" t="s">
        <v>3</v>
      </c>
      <c r="C45" s="322" t="s">
        <v>31</v>
      </c>
    </row>
    <row r="46" spans="2:11" ht="15" hidden="1" customHeight="1" x14ac:dyDescent="0.25">
      <c r="B46" s="39" t="s">
        <v>4</v>
      </c>
      <c r="C46" s="40" t="s">
        <v>32</v>
      </c>
    </row>
    <row r="47" spans="2:11" ht="30.75" hidden="1" customHeight="1" x14ac:dyDescent="0.25">
      <c r="B47" s="39" t="s">
        <v>6</v>
      </c>
      <c r="C47" s="40" t="s">
        <v>33</v>
      </c>
    </row>
    <row r="48" spans="2:11" hidden="1" x14ac:dyDescent="0.25">
      <c r="B48" s="39" t="s">
        <v>182</v>
      </c>
      <c r="C48" s="40" t="s">
        <v>34</v>
      </c>
    </row>
    <row r="49" spans="2:3" hidden="1" x14ac:dyDescent="0.25">
      <c r="B49" s="39" t="s">
        <v>183</v>
      </c>
      <c r="C49" s="40" t="s">
        <v>35</v>
      </c>
    </row>
    <row r="50" spans="2:3" hidden="1" x14ac:dyDescent="0.25">
      <c r="B50" s="41" t="s">
        <v>7</v>
      </c>
      <c r="C50" s="42" t="s">
        <v>71</v>
      </c>
    </row>
    <row r="51" spans="2:3" hidden="1" x14ac:dyDescent="0.25">
      <c r="B51" s="41" t="s">
        <v>8</v>
      </c>
      <c r="C51" s="42" t="s">
        <v>72</v>
      </c>
    </row>
    <row r="52" spans="2:3" hidden="1" x14ac:dyDescent="0.25">
      <c r="B52" s="41" t="s">
        <v>40</v>
      </c>
      <c r="C52" s="42" t="s">
        <v>73</v>
      </c>
    </row>
    <row r="53" spans="2:3" hidden="1" x14ac:dyDescent="0.25">
      <c r="B53" s="41" t="s">
        <v>9</v>
      </c>
      <c r="C53" s="42" t="s">
        <v>36</v>
      </c>
    </row>
    <row r="54" spans="2:3" hidden="1" x14ac:dyDescent="0.25">
      <c r="B54" s="41" t="s">
        <v>11</v>
      </c>
      <c r="C54" s="42" t="s">
        <v>37</v>
      </c>
    </row>
    <row r="55" spans="2:3" hidden="1" x14ac:dyDescent="0.25">
      <c r="B55" s="41" t="s">
        <v>12</v>
      </c>
      <c r="C55" s="42" t="s">
        <v>38</v>
      </c>
    </row>
    <row r="56" spans="2:3" hidden="1" x14ac:dyDescent="0.25">
      <c r="B56" s="43" t="s">
        <v>39</v>
      </c>
      <c r="C56" s="31" t="s">
        <v>41</v>
      </c>
    </row>
    <row r="57" spans="2:3" x14ac:dyDescent="0.25">
      <c r="B57" s="10"/>
      <c r="C57" s="300"/>
    </row>
    <row r="58" spans="2:3" x14ac:dyDescent="0.25">
      <c r="B58" s="10"/>
      <c r="C58" s="323"/>
    </row>
  </sheetData>
  <sheetProtection selectLockedCells="1"/>
  <mergeCells count="9">
    <mergeCell ref="B2:E2"/>
    <mergeCell ref="B5:E5"/>
    <mergeCell ref="B3:E3"/>
    <mergeCell ref="B43:E43"/>
    <mergeCell ref="B38:E38"/>
    <mergeCell ref="B39:E39"/>
    <mergeCell ref="B40:E40"/>
    <mergeCell ref="B41:E41"/>
    <mergeCell ref="B42:E42"/>
  </mergeCells>
  <conditionalFormatting sqref="E13">
    <cfRule type="expression" dxfId="1" priority="1">
      <formula>$C$13="No se recomienda esta alternativa de valorización para esta corriente de residuos"</formula>
    </cfRule>
  </conditionalFormatting>
  <dataValidations count="3">
    <dataValidation allowBlank="1" showErrorMessage="1" sqref="C8"/>
    <dataValidation type="list" allowBlank="1" showErrorMessage="1" errorTitle="Sector no válido" error="Seleccione un sector de la lista desplegable." sqref="C6">
      <formula1>$B$45:$B$56</formula1>
    </dataValidation>
    <dataValidation type="list" allowBlank="1" showErrorMessage="1" errorTitle="Corriente de residuos no válida" error="Seleccione una corriente de residuos de la lista desplegable." sqref="C7">
      <formula1>INDIRECT($D$44)</formula1>
    </dataValidation>
  </dataValidations>
  <hyperlinks>
    <hyperlink ref="B34" r:id="rId1"/>
    <hyperlink ref="B35" r:id="rId2"/>
    <hyperlink ref="B36" r:id="rId3"/>
  </hyperlinks>
  <pageMargins left="0.7" right="0.7" top="0.75" bottom="0.75" header="0.3" footer="0.3"/>
  <pageSetup paperSize="9"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Parámetros!$AD$7:$AD$9</xm:f>
          </x14:formula1>
          <xm:sqref>C20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O46"/>
  <sheetViews>
    <sheetView topLeftCell="A4" zoomScale="90" zoomScaleNormal="90" workbookViewId="0">
      <selection activeCell="B15" sqref="B15"/>
    </sheetView>
  </sheetViews>
  <sheetFormatPr baseColWidth="10" defaultRowHeight="15" x14ac:dyDescent="0.25"/>
  <cols>
    <col min="1" max="1" width="4.42578125" style="8" customWidth="1"/>
    <col min="2" max="2" width="49.140625" style="323" customWidth="1"/>
    <col min="3" max="3" width="39.28515625" style="316" bestFit="1" customWidth="1"/>
    <col min="4" max="4" width="23.140625" style="323" customWidth="1"/>
    <col min="5" max="5" width="88.85546875" style="292" customWidth="1"/>
    <col min="6" max="6" width="7.85546875" style="8" customWidth="1"/>
    <col min="7" max="7" width="7.7109375" style="8" customWidth="1"/>
    <col min="8" max="8" width="35.28515625" style="8" customWidth="1"/>
    <col min="9" max="10" width="17.140625" style="8" customWidth="1"/>
    <col min="11" max="11" width="6.42578125" style="8" customWidth="1"/>
    <col min="12" max="12" width="9.140625" style="8" customWidth="1"/>
    <col min="13" max="13" width="38.28515625" style="8" customWidth="1"/>
    <col min="14" max="14" width="33.42578125" style="8" customWidth="1"/>
    <col min="15" max="15" width="7.85546875" style="8" customWidth="1"/>
    <col min="16" max="16" width="13.5703125" style="8" customWidth="1"/>
    <col min="17" max="17" width="15.85546875" style="8" customWidth="1"/>
    <col min="18" max="18" width="13.5703125" style="8" customWidth="1"/>
    <col min="19" max="19" width="13.42578125" style="8" customWidth="1"/>
    <col min="20" max="20" width="12.140625" style="8" customWidth="1"/>
    <col min="21" max="21" width="12.42578125" style="8" customWidth="1"/>
    <col min="22" max="22" width="11.42578125" style="8" customWidth="1"/>
    <col min="23" max="23" width="31.85546875" style="8" customWidth="1"/>
    <col min="24" max="25" width="11.42578125" style="8" customWidth="1"/>
    <col min="26" max="16384" width="11.42578125" style="8"/>
  </cols>
  <sheetData>
    <row r="1" spans="2:15" s="3" customFormat="1" ht="99.75" customHeight="1" x14ac:dyDescent="0.3">
      <c r="B1" s="463"/>
      <c r="C1" s="463"/>
      <c r="D1" s="463"/>
      <c r="E1" s="463"/>
      <c r="K1" s="13"/>
      <c r="L1" s="283"/>
      <c r="M1" s="13"/>
      <c r="N1" s="13"/>
      <c r="O1" s="13"/>
    </row>
    <row r="2" spans="2:15" s="3" customFormat="1" x14ac:dyDescent="0.25">
      <c r="B2" s="463" t="s">
        <v>219</v>
      </c>
      <c r="C2" s="463"/>
      <c r="D2" s="463"/>
      <c r="E2" s="463"/>
      <c r="K2" s="13"/>
      <c r="L2" s="14"/>
      <c r="M2" s="13"/>
      <c r="N2" s="13"/>
      <c r="O2" s="13"/>
    </row>
    <row r="3" spans="2:15" s="3" customFormat="1" x14ac:dyDescent="0.25">
      <c r="B3" s="463" t="s">
        <v>218</v>
      </c>
      <c r="C3" s="463"/>
      <c r="D3" s="463"/>
      <c r="E3" s="463"/>
      <c r="J3" s="7"/>
      <c r="K3" s="13"/>
      <c r="L3" s="14"/>
      <c r="M3" s="13"/>
      <c r="N3" s="13"/>
      <c r="O3" s="13"/>
    </row>
    <row r="4" spans="2:15" s="3" customFormat="1" ht="15.75" thickBot="1" x14ac:dyDescent="0.3">
      <c r="B4" s="300"/>
      <c r="C4" s="299"/>
      <c r="D4" s="300"/>
      <c r="E4" s="292"/>
      <c r="J4" s="7"/>
      <c r="K4" s="13"/>
      <c r="L4" s="14"/>
      <c r="M4" s="13"/>
      <c r="N4" s="13"/>
      <c r="O4" s="13"/>
    </row>
    <row r="5" spans="2:15" s="3" customFormat="1" ht="19.5" thickBot="1" x14ac:dyDescent="0.35">
      <c r="B5" s="470" t="s">
        <v>74</v>
      </c>
      <c r="C5" s="471"/>
      <c r="D5" s="471"/>
      <c r="E5" s="472"/>
      <c r="J5" s="7"/>
      <c r="K5" s="13"/>
      <c r="L5" s="13"/>
      <c r="M5" s="13"/>
      <c r="N5" s="13"/>
      <c r="O5" s="13"/>
    </row>
    <row r="6" spans="2:15" s="3" customFormat="1" x14ac:dyDescent="0.25">
      <c r="B6" s="301" t="s">
        <v>293</v>
      </c>
      <c r="C6" s="302" t="s">
        <v>4</v>
      </c>
      <c r="D6" s="303"/>
      <c r="E6" s="293"/>
      <c r="J6" s="10"/>
      <c r="K6" s="13"/>
      <c r="L6" s="14"/>
      <c r="M6" s="13"/>
      <c r="N6" s="13"/>
      <c r="O6" s="13"/>
    </row>
    <row r="7" spans="2:15" s="3" customFormat="1" x14ac:dyDescent="0.25">
      <c r="B7" s="304" t="s">
        <v>292</v>
      </c>
      <c r="C7" s="305" t="s">
        <v>135</v>
      </c>
      <c r="D7" s="306"/>
      <c r="E7" s="294"/>
      <c r="J7" s="10"/>
      <c r="K7" s="13"/>
      <c r="L7" s="13"/>
      <c r="M7" s="13"/>
      <c r="N7" s="13"/>
      <c r="O7" s="13"/>
    </row>
    <row r="8" spans="2:15" s="3" customFormat="1" ht="31.5" customHeight="1" x14ac:dyDescent="0.25">
      <c r="B8" s="304" t="s">
        <v>291</v>
      </c>
      <c r="C8" s="307">
        <v>500</v>
      </c>
      <c r="D8" s="308" t="str">
        <f>VLOOKUP(C6,Parámetros!A4:B15,2,FALSE)</f>
        <v>Vacas en ordeñe</v>
      </c>
      <c r="E8" s="295" t="str">
        <f>IF(VLOOKUP(C6&amp;C7,Comentarios!C4:N29,2,FALSE)="","",VLOOKUP(C6&amp;C7,Comentarios!C4:N29,2,FALSE))</f>
        <v>Se asume establecimientos con sistema pastoril, en los cuales los animales ingresan a la sala solo en los momentos de ordeñe.</v>
      </c>
      <c r="J8" s="10"/>
      <c r="K8" s="13"/>
      <c r="L8" s="14"/>
      <c r="M8" s="13"/>
      <c r="N8" s="13"/>
      <c r="O8" s="13"/>
    </row>
    <row r="9" spans="2:15" s="3" customFormat="1" x14ac:dyDescent="0.25">
      <c r="B9" s="309"/>
      <c r="C9" s="310"/>
      <c r="D9" s="310"/>
      <c r="E9" s="296"/>
      <c r="J9" s="10"/>
      <c r="K9" s="13"/>
      <c r="L9" s="14"/>
      <c r="M9" s="13"/>
      <c r="N9" s="13"/>
      <c r="O9" s="13"/>
    </row>
    <row r="10" spans="2:15" s="3" customFormat="1" ht="27.75" customHeight="1" x14ac:dyDescent="0.25">
      <c r="B10" s="304" t="s">
        <v>290</v>
      </c>
      <c r="C10" s="311">
        <f>IF(OR(VLOOKUP(C6&amp;C7,Parámetros!F3:W27,5,FALSE)="",VLOOKUP(C6&amp;C7,Parámetros!F3:W27,6,FALSE)=""),"Aún no contamos con datos para este residuo",VLOOKUP(C6&amp;C7,Parámetros!F3:W27,5,FALSE)*C8)</f>
        <v>109.49999999999999</v>
      </c>
      <c r="D10" s="308" t="s">
        <v>42</v>
      </c>
      <c r="E10" s="295" t="str">
        <f>IF(VLOOKUP(C6&amp;C7,Comentarios!C4:N29,3,FALSE)="","",VLOOKUP(C6&amp;C7,Comentarios!C4:N29,3,FALSE))</f>
        <v>Tasa de generación de residuos de 1,2 kg/animal·día en base seca, correspondiente a un tiempo medio en el corral de espera y patio de alimentación de 4 h/día y 10 % de eficiencia de separación del sistema de separación.</v>
      </c>
      <c r="J10" s="10"/>
    </row>
    <row r="11" spans="2:15" s="3" customFormat="1" ht="29.25" customHeight="1" x14ac:dyDescent="0.25">
      <c r="B11" s="304" t="s">
        <v>289</v>
      </c>
      <c r="C11" s="311">
        <f>IF(OR(VLOOKUP(C6&amp;C7,Parámetros!F3:W27,5,FALSE)="",VLOOKUP(C6&amp;C7,Parámetros!F3:W27,6,FALSE)=""),"Aún no contamos con datos para este residuo",100-VLOOKUP(C6&amp;C7,Parámetros!F3:W27,6,FALSE))</f>
        <v>80</v>
      </c>
      <c r="D11" s="308" t="s">
        <v>54</v>
      </c>
      <c r="E11" s="295" t="str">
        <f>IF(VLOOKUP(C6&amp;C7,Comentarios!C4:N29,4,FALSE)="","",VLOOKUP(C6&amp;C7,Comentarios!C4:N29,4,FALSE))</f>
        <v xml:space="preserve">Humedad del sólido resultante de la separación del efluente bruto en prensa extrusora. La humedad final del residuo depende del manejo implementado. </v>
      </c>
      <c r="J11" s="10"/>
    </row>
    <row r="12" spans="2:15" s="3" customFormat="1" x14ac:dyDescent="0.25">
      <c r="B12" s="304"/>
      <c r="C12" s="312"/>
      <c r="D12" s="308"/>
      <c r="E12" s="295"/>
      <c r="H12" s="10"/>
      <c r="J12" s="10"/>
      <c r="L12"/>
    </row>
    <row r="13" spans="2:15" s="3" customFormat="1" x14ac:dyDescent="0.25">
      <c r="B13" s="309" t="s">
        <v>382</v>
      </c>
      <c r="C13" s="313" t="s">
        <v>215</v>
      </c>
      <c r="D13" s="310" t="s">
        <v>54</v>
      </c>
      <c r="E13" s="295" t="str">
        <f>IF(VLOOKUP(C6&amp;C7,Comentarios!C4:X29,22,FALSE)="","",VLOOKUP(C6&amp;C7,Comentarios!C4:X29,22,FALSE))</f>
        <v xml:space="preserve">Humedad del residuo a la que ingresa al sistema de quema, luego de la deshidratación a la que eventualmente sea sometido. </v>
      </c>
      <c r="H13" s="10"/>
      <c r="J13" s="10"/>
    </row>
    <row r="14" spans="2:15" s="3" customFormat="1" ht="23.25" x14ac:dyDescent="0.25">
      <c r="B14" s="445" t="s">
        <v>391</v>
      </c>
      <c r="C14" s="311">
        <f>IF(OR(VLOOKUP(C6&amp;C7,Parámetros!F3:W27,5,FALSE)="",VLOOKUP(C6&amp;C7,Parámetros!F3:W27,6,FALSE)=""),"Aún no contamos con datos para este residuo",IF(OR(VLOOKUP(C6&amp;C7,Parámetros!F3:W27,9,FALSE)="",VLOOKUP(C6&amp;C7,Parámetros!F3:W27,10,FALSE)="",VLOOKUP(C6&amp;C7,Parámetros!F3:W27,11,FALSE)=""),"No se recomienda esta alternativa de valorización para esta corriente de residuos",C10*(VLOOKUP(C6&amp;C7,Parámetros!F3:W27,9,FALSE)*VLOOKUP(C6&amp;C7,Parámetros!F3:W27,6,FALSE)/100-C13/100*540)*0.00116*1000/VLOOKUP(C6&amp;C7,Parámetros!F3:K27,4,FALSE)))</f>
        <v>166.2674066985646</v>
      </c>
      <c r="D14" s="308" t="s">
        <v>78</v>
      </c>
      <c r="E14" s="295" t="str">
        <f>IF(VLOOKUP(C6&amp;C7,Comentarios!C4:Y29,23,FALSE)="","",VLOOKUP(C6&amp;C7,Comentarios!C4:Y29,23,FALSE))</f>
        <v>Se asume que los residuos son ingresados a un horno, caldera, u otro tipo de equipo que permita su quema de forma adecuada y su aprovechamiento energético.</v>
      </c>
      <c r="H14" s="8"/>
      <c r="I14" s="8"/>
      <c r="J14" s="10"/>
    </row>
    <row r="15" spans="2:15" s="3" customFormat="1" x14ac:dyDescent="0.25">
      <c r="B15" s="445" t="s">
        <v>392</v>
      </c>
      <c r="C15" s="311">
        <f>IF(OR(VLOOKUP(C6&amp;C7,Parámetros!F3:W27,5,FALSE)="",VLOOKUP(C6&amp;C7,Parámetros!F3:W27,6,FALSE)=""),"Aún no contamos con datos para este residuo",IF(OR(VLOOKUP(C6&amp;C7,Parámetros!F3:W27,9,FALSE)="",VLOOKUP(C6&amp;C7,Parámetros!F3:W27,10,FALSE)="",VLOOKUP(C6&amp;C7,Parámetros!F3:W27,11,FALSE)=""),"No se recomienda esta alternativa de valorización para esta corriente de residuos",C10*VLOOKUP(C6&amp;C7,Parámetros!F3:W27,6,FALSE)/100*VLOOKUP(C6&amp;C7,Parámetros!F3:W27,11,FALSE)/100*1000/VLOOKUP(C6&amp;C7,Parámetros!F3:W27,4,FALSE)))</f>
        <v>11.999999999999998</v>
      </c>
      <c r="D15" s="308" t="s">
        <v>129</v>
      </c>
      <c r="E15" s="295" t="str">
        <f>IF(VLOOKUP(C6&amp;C7,Comentarios!C4:Z29,24,FALSE)="","",VLOOKUP(C6&amp;C7,Comentarios!C4:Z29,24,FALSE))</f>
        <v>Es necesario contar con un sistema de gestión adecuado para las cenizas generadas.</v>
      </c>
      <c r="H15" s="8"/>
      <c r="I15" s="8"/>
      <c r="J15" s="10"/>
    </row>
    <row r="16" spans="2:15" s="3" customFormat="1" x14ac:dyDescent="0.25">
      <c r="B16" s="304"/>
      <c r="C16" s="311"/>
      <c r="D16" s="308"/>
      <c r="E16" s="295"/>
      <c r="H16" s="8"/>
      <c r="I16" s="8"/>
      <c r="J16" s="10"/>
    </row>
    <row r="17" spans="2:10" s="3" customFormat="1" x14ac:dyDescent="0.25">
      <c r="B17" s="304" t="s">
        <v>139</v>
      </c>
      <c r="C17" s="314" t="s">
        <v>143</v>
      </c>
      <c r="D17" s="308"/>
      <c r="E17" s="295"/>
      <c r="H17" s="8"/>
      <c r="I17" s="8"/>
      <c r="J17" s="10"/>
    </row>
    <row r="18" spans="2:10" s="3" customFormat="1" x14ac:dyDescent="0.25">
      <c r="B18" s="304" t="s">
        <v>140</v>
      </c>
      <c r="C18" s="311">
        <f>IF(OR(VLOOKUP(C6&amp;C7,Parámetros!F3:W27,5,FALSE)="",VLOOKUP(C6&amp;C7,Parámetros!F3:W27,6,FALSE)=""),"Aún no contamos con datos para este residuo",IF(OR(VLOOKUP(C6&amp;C7,Parámetros!F3:W27,9,FALSE)="",VLOOKUP(C6&amp;C7,Parámetros!F3:W27,10,FALSE)="",VLOOKUP(C6&amp;C7,Parámetros!F3:W27,11,FALSE)=""),"No se recomienda esta alternativa de valorización para esta corriente de residuos",IF(C17="Leña",C14/Parámetros!AE7/1000*VLOOKUP(C6&amp;C7,Parámetros!F3:W27,4,FALSE),IF(C17="Fuel-oil",C14/Parámetros!AE8/1000*VLOOKUP(C6&amp;C7,Parámetros!F3:W27,4,FALSE),IF(C17="Gas-oil",C14/Parámetros!AE9/1000*VLOOKUP(C6&amp;C7,Parámetros!F3:W27,4,FALSE))))))</f>
        <v>5.5070420548980108</v>
      </c>
      <c r="D18" s="308" t="str">
        <f>IF(C17="Leña","ton/año",IF(C17="Fuel-oil","m3/año",IF(C17="Gas-oil","m3/año")))</f>
        <v>m3/año</v>
      </c>
      <c r="E18" s="295" t="str">
        <f>IF(VLOOKUP(C6&amp;C7,Comentarios!C4:AA29,25,FALSE)="","",VLOOKUP(C6&amp;C7,Comentarios!C4:AA29,25,FALSE))</f>
        <v>Cantidad de combustible sustituido en base a la energía equivalente.</v>
      </c>
      <c r="H18" s="8"/>
      <c r="I18" s="8"/>
      <c r="J18" s="10"/>
    </row>
    <row r="19" spans="2:10" s="3" customFormat="1" x14ac:dyDescent="0.25">
      <c r="B19" s="304" t="s">
        <v>141</v>
      </c>
      <c r="C19" s="311">
        <f>IF(OR(VLOOKUP(C6&amp;C7,Parámetros!F3:W27,5,FALSE)="",VLOOKUP(C6&amp;C7,Parámetros!F3:W27,6,FALSE)=""),"Aún no contamos con datos para este residuo",IF(OR(VLOOKUP(C6&amp;C7,Parámetros!F3:W27,9,FALSE)="",VLOOKUP(C6&amp;C7,Parámetros!F3:W27,10,FALSE)="",VLOOKUP(C6&amp;C7,Parámetros!F3:W27,11,FALSE)=""),"No se recomienda esta alternativa de valorización para esta corriente de residuos",IF(C17="Leña",C18*Parámetros!AG7,IF(C17="Fuel-oil",C18*Parámetros!AG8*1000,IF(C17="Gas-oil",C18*Parámetros!AG9*1000)))))</f>
        <v>3579.5773356837071</v>
      </c>
      <c r="D19" s="308" t="s">
        <v>89</v>
      </c>
      <c r="E19" s="295" t="str">
        <f>IF(VLOOKUP(C6&amp;C7,Comentarios!C4:AB29,26,FALSE)="","",VLOOKUP(C6&amp;C7,Comentarios!C4:AB29,26,FALSE))</f>
        <v>Ahorro producido por sustitución de combustibles en base a la energía equivalente obtenida de los residuos.</v>
      </c>
      <c r="H19" s="8"/>
      <c r="I19" s="8"/>
      <c r="J19" s="8"/>
    </row>
    <row r="20" spans="2:10" s="3" customFormat="1" x14ac:dyDescent="0.25">
      <c r="B20" s="304"/>
      <c r="C20" s="311"/>
      <c r="D20" s="308"/>
      <c r="E20" s="295"/>
      <c r="H20" s="8"/>
      <c r="I20" s="8"/>
      <c r="J20" s="8"/>
    </row>
    <row r="21" spans="2:10" s="3" customFormat="1" ht="30.75" customHeight="1" thickBot="1" x14ac:dyDescent="0.3">
      <c r="B21" s="436" t="s">
        <v>355</v>
      </c>
      <c r="C21" s="423">
        <f>IF(OR(VLOOKUP(C6&amp;C7,Parámetros!F3:W27,5,FALSE)="",VLOOKUP(C6&amp;C7,Parámetros!F3:W27,6,FALSE)=""),"Aún no contamos con datos para este residuo",IF(OR(VLOOKUP(C6&amp;C7,Parámetros!F3:W27,9,FALSE)="",VLOOKUP(C6&amp;C7,Parámetros!F3:W27,10,FALSE)="",VLOOKUP(C6&amp;C7,Parámetros!F3:W27,11,FALSE)=""),"No se recomienda esta alternativa de valorización para esta corriente de residuos",-C18*VLOOKUP(C17,Parámetros!Y75:Z77,2,FALSE)))</f>
        <v>-17181.971211281794</v>
      </c>
      <c r="D21" s="424" t="s">
        <v>311</v>
      </c>
      <c r="E21" s="437" t="str">
        <f>IF(VLOOKUP(C6&amp;C7,Comentarios!C4:AC29,27,FALSE)="","",VLOOKUP(C6&amp;C7,Comentarios!C4:AC29,27,FALSE))</f>
        <v>Se asumen las emisiones evitadas por la sustitución de combustibles.</v>
      </c>
      <c r="H21" s="8"/>
      <c r="I21" s="8"/>
      <c r="J21" s="10"/>
    </row>
    <row r="22" spans="2:10" s="3" customFormat="1" x14ac:dyDescent="0.25">
      <c r="B22" s="308"/>
      <c r="C22" s="311"/>
      <c r="D22" s="308"/>
      <c r="E22" s="297"/>
      <c r="F22" s="13"/>
      <c r="H22" s="8"/>
      <c r="I22" s="8"/>
      <c r="J22" s="10"/>
    </row>
    <row r="23" spans="2:10" s="3" customFormat="1" ht="18" hidden="1" x14ac:dyDescent="0.25">
      <c r="B23" s="116" t="s">
        <v>335</v>
      </c>
      <c r="C23" s="311">
        <f>-C18*VLOOKUP(C17,Parámetros!Y75:Z77,2,FALSE)</f>
        <v>-17181.971211281794</v>
      </c>
      <c r="D23" s="10" t="s">
        <v>327</v>
      </c>
      <c r="E23" s="297"/>
      <c r="F23" s="13"/>
      <c r="H23" s="8"/>
      <c r="I23" s="8"/>
      <c r="J23" s="10"/>
    </row>
    <row r="24" spans="2:10" s="3" customFormat="1" x14ac:dyDescent="0.25">
      <c r="B24" s="308"/>
      <c r="C24" s="311"/>
      <c r="D24" s="308"/>
      <c r="E24" s="297"/>
      <c r="F24" s="13"/>
      <c r="H24" s="8"/>
      <c r="I24" s="8"/>
      <c r="J24" s="10"/>
    </row>
    <row r="25" spans="2:10" ht="18" customHeight="1" x14ac:dyDescent="0.25">
      <c r="B25" s="315" t="s">
        <v>220</v>
      </c>
      <c r="C25" s="299"/>
      <c r="D25" s="316"/>
      <c r="E25" s="298"/>
    </row>
    <row r="26" spans="2:10" ht="18" customHeight="1" x14ac:dyDescent="0.25">
      <c r="B26" s="317" t="s">
        <v>221</v>
      </c>
      <c r="C26" s="299"/>
      <c r="D26" s="300"/>
    </row>
    <row r="27" spans="2:10" ht="18" customHeight="1" x14ac:dyDescent="0.25">
      <c r="B27" s="317" t="s">
        <v>222</v>
      </c>
      <c r="C27" s="318"/>
      <c r="D27" s="318"/>
      <c r="E27" s="116"/>
    </row>
    <row r="28" spans="2:10" ht="18" customHeight="1" x14ac:dyDescent="0.25">
      <c r="B28" s="317"/>
      <c r="C28" s="318"/>
      <c r="D28" s="318"/>
      <c r="E28" s="116"/>
    </row>
    <row r="29" spans="2:10" s="345" customFormat="1" ht="39.75" customHeight="1" x14ac:dyDescent="0.25">
      <c r="B29" s="463" t="s">
        <v>80</v>
      </c>
      <c r="C29" s="463"/>
      <c r="D29" s="463"/>
      <c r="E29" s="463"/>
    </row>
    <row r="30" spans="2:10" s="345" customFormat="1" ht="30" customHeight="1" x14ac:dyDescent="0.25">
      <c r="B30" s="463" t="s">
        <v>65</v>
      </c>
      <c r="C30" s="463"/>
      <c r="D30" s="463"/>
      <c r="E30" s="463"/>
    </row>
    <row r="31" spans="2:10" s="345" customFormat="1" ht="32.25" customHeight="1" x14ac:dyDescent="0.25">
      <c r="B31" s="463" t="s">
        <v>66</v>
      </c>
      <c r="C31" s="463"/>
      <c r="D31" s="463"/>
      <c r="E31" s="463"/>
    </row>
    <row r="32" spans="2:10" s="345" customFormat="1" ht="30" customHeight="1" x14ac:dyDescent="0.25">
      <c r="B32" s="463" t="s">
        <v>128</v>
      </c>
      <c r="C32" s="463"/>
      <c r="D32" s="463"/>
      <c r="E32" s="463"/>
    </row>
    <row r="33" spans="2:5" s="345" customFormat="1" ht="33" customHeight="1" x14ac:dyDescent="0.25">
      <c r="B33" s="463" t="s">
        <v>67</v>
      </c>
      <c r="C33" s="463"/>
      <c r="D33" s="463"/>
      <c r="E33" s="463"/>
    </row>
    <row r="34" spans="2:5" ht="30" customHeight="1" x14ac:dyDescent="0.25">
      <c r="B34" s="318"/>
      <c r="C34" s="318"/>
      <c r="D34" s="318"/>
      <c r="E34" s="116"/>
    </row>
    <row r="35" spans="2:5" hidden="1" x14ac:dyDescent="0.25">
      <c r="B35" s="319" t="s">
        <v>0</v>
      </c>
      <c r="C35" s="320" t="s">
        <v>30</v>
      </c>
      <c r="D35" s="321" t="str">
        <f>VLOOKUP(C6,B36:C46,2,FALSE)</f>
        <v>tambos</v>
      </c>
      <c r="E35" s="116"/>
    </row>
    <row r="36" spans="2:5" hidden="1" x14ac:dyDescent="0.25">
      <c r="B36" s="39" t="s">
        <v>3</v>
      </c>
      <c r="C36" s="322" t="s">
        <v>31</v>
      </c>
      <c r="D36" s="318"/>
      <c r="E36" s="116"/>
    </row>
    <row r="37" spans="2:5" hidden="1" x14ac:dyDescent="0.25">
      <c r="B37" s="39" t="s">
        <v>4</v>
      </c>
      <c r="C37" s="40" t="s">
        <v>32</v>
      </c>
      <c r="D37" s="318"/>
      <c r="E37" s="116"/>
    </row>
    <row r="38" spans="2:5" hidden="1" x14ac:dyDescent="0.25">
      <c r="B38" s="39" t="s">
        <v>6</v>
      </c>
      <c r="C38" s="40" t="s">
        <v>33</v>
      </c>
    </row>
    <row r="39" spans="2:5" hidden="1" x14ac:dyDescent="0.25">
      <c r="B39" s="39" t="s">
        <v>183</v>
      </c>
      <c r="C39" s="40" t="s">
        <v>35</v>
      </c>
    </row>
    <row r="40" spans="2:5" hidden="1" x14ac:dyDescent="0.25">
      <c r="B40" s="41" t="s">
        <v>7</v>
      </c>
      <c r="C40" s="42" t="s">
        <v>71</v>
      </c>
    </row>
    <row r="41" spans="2:5" hidden="1" x14ac:dyDescent="0.25">
      <c r="B41" s="41" t="s">
        <v>8</v>
      </c>
      <c r="C41" s="42" t="s">
        <v>72</v>
      </c>
    </row>
    <row r="42" spans="2:5" hidden="1" x14ac:dyDescent="0.25">
      <c r="B42" s="41" t="s">
        <v>40</v>
      </c>
      <c r="C42" s="42" t="s">
        <v>73</v>
      </c>
    </row>
    <row r="43" spans="2:5" hidden="1" x14ac:dyDescent="0.25">
      <c r="B43" s="41" t="s">
        <v>9</v>
      </c>
      <c r="C43" s="42" t="s">
        <v>36</v>
      </c>
    </row>
    <row r="44" spans="2:5" hidden="1" x14ac:dyDescent="0.25">
      <c r="B44" s="41" t="s">
        <v>11</v>
      </c>
      <c r="C44" s="42" t="s">
        <v>37</v>
      </c>
    </row>
    <row r="45" spans="2:5" hidden="1" x14ac:dyDescent="0.25">
      <c r="B45" s="41" t="s">
        <v>12</v>
      </c>
      <c r="C45" s="42" t="s">
        <v>38</v>
      </c>
    </row>
    <row r="46" spans="2:5" hidden="1" x14ac:dyDescent="0.25">
      <c r="B46" s="43" t="s">
        <v>39</v>
      </c>
      <c r="C46" s="31" t="s">
        <v>41</v>
      </c>
    </row>
  </sheetData>
  <sheetProtection selectLockedCells="1"/>
  <mergeCells count="9">
    <mergeCell ref="B31:E31"/>
    <mergeCell ref="B32:E32"/>
    <mergeCell ref="B33:E33"/>
    <mergeCell ref="B5:E5"/>
    <mergeCell ref="B1:E1"/>
    <mergeCell ref="B2:E2"/>
    <mergeCell ref="B3:E3"/>
    <mergeCell ref="B29:E29"/>
    <mergeCell ref="B30:E30"/>
  </mergeCells>
  <conditionalFormatting sqref="E14">
    <cfRule type="expression" dxfId="0" priority="1">
      <formula>$C$14="No se recomienda esta alternativa de valorización para esta corriente de residuos"</formula>
    </cfRule>
  </conditionalFormatting>
  <dataValidations disablePrompts="1" count="3">
    <dataValidation allowBlank="1" showErrorMessage="1" sqref="C8"/>
    <dataValidation type="list" allowBlank="1" showErrorMessage="1" errorTitle="Sector no válido" error="Seleccione un sector de la lista desplegable." sqref="C6">
      <formula1>$B$36:$B$46</formula1>
    </dataValidation>
    <dataValidation type="list" allowBlank="1" showErrorMessage="1" errorTitle="Corriente de residuos no válida" error="Seleccione una corriente de residuos de la lista desplegable." sqref="C7">
      <formula1>INDIRECT($D$35)</formula1>
    </dataValidation>
  </dataValidations>
  <hyperlinks>
    <hyperlink ref="B25" r:id="rId1"/>
    <hyperlink ref="B26" r:id="rId2"/>
    <hyperlink ref="B27" r:id="rId3"/>
  </hyperlinks>
  <pageMargins left="0.7" right="0.7" top="0.75" bottom="0.75" header="0.3" footer="0.3"/>
  <pageSetup paperSize="9" orientation="portrait" r:id="rId4"/>
  <ignoredErrors>
    <ignoredError sqref="C13" numberStoredAsText="1"/>
  </ignoredErrors>
  <drawing r:id="rId5"/>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Parámetros!$AD$7:$AD$9</xm:f>
          </x14:formula1>
          <xm:sqref>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Q68"/>
  <sheetViews>
    <sheetView showGridLines="0" zoomScale="90" zoomScaleNormal="90" workbookViewId="0">
      <selection activeCell="E30" sqref="E30"/>
    </sheetView>
  </sheetViews>
  <sheetFormatPr baseColWidth="10" defaultRowHeight="15" x14ac:dyDescent="0.25"/>
  <cols>
    <col min="1" max="1" width="3" style="81" customWidth="1"/>
    <col min="2" max="2" width="48.28515625" style="81" customWidth="1"/>
    <col min="3" max="3" width="45.42578125" style="81" customWidth="1"/>
    <col min="4" max="4" width="25.42578125" style="81" customWidth="1"/>
    <col min="5" max="5" width="79.140625" style="337" customWidth="1"/>
    <col min="6" max="6" width="27.42578125" style="81" customWidth="1"/>
    <col min="7" max="7" width="38" style="81" customWidth="1"/>
    <col min="8" max="8" width="29.7109375" style="81" customWidth="1"/>
    <col min="9" max="9" width="16.140625" style="81" customWidth="1"/>
    <col min="10" max="10" width="11.42578125" style="81" customWidth="1"/>
    <col min="11" max="11" width="33.7109375" style="81" customWidth="1"/>
    <col min="12" max="12" width="14.28515625" style="81" bestFit="1" customWidth="1"/>
    <col min="13" max="16384" width="11.42578125" style="81"/>
  </cols>
  <sheetData>
    <row r="1" spans="2:17" s="83" customFormat="1" ht="80.25" customHeight="1" x14ac:dyDescent="0.25">
      <c r="B1" s="477"/>
      <c r="C1" s="477"/>
      <c r="D1" s="477"/>
      <c r="E1" s="477"/>
      <c r="G1" s="85"/>
      <c r="J1" s="82"/>
      <c r="K1" s="82"/>
      <c r="L1" s="84"/>
      <c r="M1" s="82"/>
      <c r="N1" s="82"/>
      <c r="O1" s="82"/>
      <c r="P1" s="82"/>
      <c r="Q1" s="82"/>
    </row>
    <row r="2" spans="2:17" s="83" customFormat="1" x14ac:dyDescent="0.25">
      <c r="B2" s="463" t="s">
        <v>219</v>
      </c>
      <c r="C2" s="463"/>
      <c r="D2" s="463"/>
      <c r="E2" s="463"/>
      <c r="G2" s="85"/>
      <c r="J2" s="82"/>
      <c r="K2" s="82"/>
      <c r="L2" s="84"/>
      <c r="M2" s="82"/>
      <c r="N2" s="82"/>
      <c r="O2" s="82"/>
      <c r="P2" s="82"/>
      <c r="Q2" s="82"/>
    </row>
    <row r="3" spans="2:17" s="83" customFormat="1" x14ac:dyDescent="0.25">
      <c r="B3" s="463" t="s">
        <v>218</v>
      </c>
      <c r="C3" s="463"/>
      <c r="D3" s="463"/>
      <c r="E3" s="463"/>
      <c r="G3" s="85"/>
      <c r="J3" s="82"/>
      <c r="K3" s="82"/>
      <c r="L3" s="88"/>
      <c r="M3" s="82"/>
      <c r="N3" s="82"/>
      <c r="O3" s="82"/>
      <c r="P3" s="82"/>
      <c r="Q3" s="82"/>
    </row>
    <row r="4" spans="2:17" s="83" customFormat="1" ht="15.75" thickBot="1" x14ac:dyDescent="0.3">
      <c r="E4" s="338"/>
      <c r="G4" s="85"/>
      <c r="J4" s="82"/>
      <c r="K4" s="82"/>
      <c r="L4" s="89"/>
      <c r="M4" s="82"/>
      <c r="N4" s="82"/>
      <c r="O4" s="82"/>
      <c r="P4" s="82"/>
      <c r="Q4" s="82"/>
    </row>
    <row r="5" spans="2:17" s="83" customFormat="1" ht="19.5" thickBot="1" x14ac:dyDescent="0.3">
      <c r="B5" s="478" t="s">
        <v>90</v>
      </c>
      <c r="C5" s="479"/>
      <c r="D5" s="479"/>
      <c r="E5" s="480"/>
      <c r="G5" s="85"/>
      <c r="J5" s="82"/>
      <c r="K5" s="82"/>
      <c r="L5" s="89"/>
      <c r="M5" s="82"/>
      <c r="N5" s="82"/>
      <c r="O5" s="82"/>
      <c r="P5" s="82"/>
      <c r="Q5" s="82"/>
    </row>
    <row r="6" spans="2:17" s="83" customFormat="1" x14ac:dyDescent="0.25">
      <c r="B6" s="90" t="s">
        <v>293</v>
      </c>
      <c r="C6" s="91" t="s">
        <v>3</v>
      </c>
      <c r="D6" s="92"/>
      <c r="E6" s="339"/>
      <c r="G6" s="85"/>
      <c r="J6" s="82"/>
      <c r="K6" s="82"/>
      <c r="L6" s="82"/>
      <c r="M6" s="82"/>
      <c r="N6" s="82"/>
      <c r="O6" s="82"/>
      <c r="P6" s="82"/>
      <c r="Q6" s="82"/>
    </row>
    <row r="7" spans="2:17" s="83" customFormat="1" x14ac:dyDescent="0.25">
      <c r="B7" s="93" t="s">
        <v>292</v>
      </c>
      <c r="C7" s="94" t="s">
        <v>14</v>
      </c>
      <c r="D7" s="95"/>
      <c r="E7" s="340"/>
      <c r="G7" s="85"/>
      <c r="J7" s="82"/>
      <c r="K7" s="475"/>
      <c r="L7" s="475"/>
      <c r="M7" s="82"/>
      <c r="N7" s="82"/>
      <c r="O7" s="82"/>
      <c r="P7" s="82"/>
      <c r="Q7" s="82"/>
    </row>
    <row r="8" spans="2:17" ht="24" customHeight="1" x14ac:dyDescent="0.25">
      <c r="B8" s="93" t="s">
        <v>291</v>
      </c>
      <c r="C8" s="102">
        <v>1000</v>
      </c>
      <c r="D8" s="80" t="str">
        <f>VLOOKUP(C6,Parámetros!A4:B15,2,FALSE)</f>
        <v>Animales encerrados (capacidad ocupada)</v>
      </c>
      <c r="E8" s="335" t="str">
        <f>IF(VLOOKUP(C6&amp;C7,Comentarios!C4:N29,2,FALSE)="","",VLOOKUP(C6&amp;C7,Comentarios!C4:N29,2,FALSE))</f>
        <v>Se asume una ocupación media anual de los corrales de 200 días.</v>
      </c>
      <c r="F8" s="83"/>
      <c r="G8" s="85"/>
      <c r="J8" s="82"/>
      <c r="K8" s="263"/>
      <c r="L8" s="264"/>
      <c r="M8" s="82"/>
      <c r="N8" s="82"/>
      <c r="O8" s="82"/>
      <c r="P8" s="82"/>
      <c r="Q8" s="82"/>
    </row>
    <row r="9" spans="2:17" s="83" customFormat="1" x14ac:dyDescent="0.25">
      <c r="B9" s="79"/>
      <c r="C9" s="103"/>
      <c r="E9" s="341"/>
      <c r="G9" s="85"/>
      <c r="J9" s="82"/>
      <c r="K9" s="263"/>
      <c r="L9" s="264"/>
      <c r="N9" s="82"/>
      <c r="O9" s="82"/>
      <c r="P9" s="82"/>
      <c r="Q9" s="82"/>
    </row>
    <row r="10" spans="2:17" s="83" customFormat="1" ht="27.75" customHeight="1" x14ac:dyDescent="0.25">
      <c r="B10" s="96" t="s">
        <v>290</v>
      </c>
      <c r="C10" s="104">
        <f>IF(OR(VLOOKUP(C6&amp;C7,Parámetros!F3:W27,5,FALSE)="",VLOOKUP(C6&amp;C7,Parámetros!F3:W27,6,FALSE)=""),"Aún no contamos con datos para este residuo",VLOOKUP(C6&amp;C7,Parámetros!F3:W27,5,FALSE)*C8)</f>
        <v>3400</v>
      </c>
      <c r="D10" s="80" t="s">
        <v>42</v>
      </c>
      <c r="E10" s="335" t="str">
        <f>IF(VLOOKUP(C6&amp;C7,Comentarios!C4:N29,3,FALSE)="","",VLOOKUP(C6&amp;C7,Comentarios!C4:N29,3,FALSE))</f>
        <v xml:space="preserve">Tasa de generación de residuos de 3,4 kg/animal·día en base seca. Se asume limpieza en seco de los corrales mediante pala mecánica, una vez retirados los animales. </v>
      </c>
      <c r="G10" s="85"/>
      <c r="J10" s="82"/>
      <c r="K10" s="263"/>
      <c r="L10" s="265"/>
      <c r="N10" s="82"/>
      <c r="O10" s="82"/>
      <c r="P10" s="82"/>
      <c r="Q10" s="82"/>
    </row>
    <row r="11" spans="2:17" s="98" customFormat="1" ht="27.75" customHeight="1" x14ac:dyDescent="0.25">
      <c r="B11" s="96" t="s">
        <v>289</v>
      </c>
      <c r="C11" s="104">
        <f>IF(OR(VLOOKUP(C6&amp;C7,Parámetros!F3:W27,5,FALSE)="",VLOOKUP(C6&amp;C7,Parámetros!F3:W27,6,FALSE)=""),"Aún no contamos con datos para este residuo",100-VLOOKUP(C6&amp;C7,Parámetros!F3:W27,6,FALSE))</f>
        <v>80</v>
      </c>
      <c r="D11" s="80" t="s">
        <v>54</v>
      </c>
      <c r="E11" s="342" t="str">
        <f>IF(VLOOKUP(C6&amp;C7,Comentarios!C4:AJ29,4,FALSE)="","",VLOOKUP(C6&amp;C7,Comentarios!C4:AJ29,4,FALSE))</f>
        <v>Humedad del estiércol recolectado del piso del corral una vez retirados los animales. La humedad final del residuo depende del manejo implementado.</v>
      </c>
      <c r="F11" s="97"/>
      <c r="J11" s="82"/>
      <c r="K11" s="266"/>
      <c r="L11" s="267"/>
      <c r="O11" s="82"/>
      <c r="P11" s="82"/>
      <c r="Q11" s="82"/>
    </row>
    <row r="12" spans="2:17" s="353" customFormat="1" x14ac:dyDescent="0.25">
      <c r="B12" s="350"/>
      <c r="C12" s="357"/>
      <c r="D12" s="357"/>
      <c r="E12" s="358"/>
      <c r="J12" s="356"/>
      <c r="K12" s="266"/>
      <c r="L12" s="267"/>
      <c r="M12" s="359"/>
      <c r="N12" s="356"/>
      <c r="O12" s="356"/>
      <c r="P12" s="356"/>
      <c r="Q12" s="356"/>
    </row>
    <row r="13" spans="2:17" s="83" customFormat="1" ht="18" customHeight="1" x14ac:dyDescent="0.25">
      <c r="B13" s="96" t="s">
        <v>300</v>
      </c>
      <c r="C13" s="346">
        <f>IF(OR(VLOOKUP(C6&amp;C7,Parámetros!F3:W27,5,FALSE)="",VLOOKUP(C6&amp;C7,Parámetros!F3:W27,6,FALSE)=""),"Aún no contamos con datos para este residuo",IF(OR(VLOOKUP(C6&amp;C7,Parámetros!F3:W27,12,FALSE)="",VLOOKUP(C6&amp;C7,Parámetros!F3:W27,13,FALSE)=""),"No se recomienda esta alternativa de valorización para esta corriente de residuos",IF(AND(VLOOKUP(C6&amp;C7,Parámetros!F3:W27,17,FALSE)&lt;Parámetros!Z40,(((((C10*((100-C11)/100))*((VLOOKUP(C6&amp;C7,Parámetros!F3:W27,13,FALSE))/100)*(Parámetros!Z40-(VLOOKUP(C6&amp;C7,Parámetros!F3:W27,17,FALSE))))/((0.4/100)*(Parámetros!Z43-Parámetros!Z40)))+'Compostaje '!C10)/(((((C10*((100-C11)/100))*((VLOOKUP(C6&amp;C7,Parámetros!F3:W27,13,FALSE))/100)*(Parámetros!Z40-(VLOOKUP(C6&amp;C7,Parámetros!F3:W27,17,FALSE))))/((0.4/100)*(Parámetros!Z43-Parámetros!Z40)))/Parámetros!$Z$46)*0.4+(C10/VLOOKUP(C6&amp;C7,Parámetros!F3:X27,18,FALSE))))&gt;Parámetros!Z47),((Parámetros!Z47*(((((C10*((100-C11)/100))*((VLOOKUP(C6&amp;C7,Parámetros!F3:W27,13,FALSE))/100)*(Parámetros!Z40-(VLOOKUP(C6&amp;C7,Parámetros!F3:W27,17,FALSE))))/((0.4/100)*(Parámetros!Z43-Parámetros!Z40)))/Parámetros!$Z$46)*0.4+('Compostaje '!C10/(VLOOKUP(C6&amp;C7,Parámetros!F3:W27,18,FALSE))))-((((C10*((100-C11)/100))*((VLOOKUP(C6&amp;C7,Parámetros!F3:W27,13,FALSE))/100)*(Parámetros!Z40-(VLOOKUP(C6&amp;C7,Parámetros!F3:W27,17,FALSE))))/((0.4/100)*(Parámetros!Z43-Parámetros!Z40)))+'Compostaje '!C10))/(1-0.4*Parámetros!Z47/Parámetros!Z46)),IF(AND(VLOOKUP(C6&amp;C7,Parámetros!F3:W27,17,FALSE)&lt;Parámetros!Z40,(((((C10*((100-C11)/100))*((VLOOKUP(C6&amp;C7,Parámetros!F3:W27,13,FALSE))/100)*(Parámetros!Z40-(VLOOKUP(C6&amp;C7,Parámetros!F3:W27,17,FALSE))))/((0.4/100)*(Parámetros!Z43-Parámetros!Z40)))+'Compostaje '!C10)/(((((C10*((100-C11)/100))*((VLOOKUP(C6&amp;C7,Parámetros!F3:W27,13,FALSE))/100)*(Parámetros!Z40-(VLOOKUP(C6&amp;C7,Parámetros!F3:W27,17,FALSE))))/((0.4/100)*(Parámetros!Z43-Parámetros!Z40)))/Parámetros!$Z$46)*0.4+(C10/VLOOKUP(C6&amp;C7,Parámetros!F3:X27,18,FALSE))))&lt;=Parámetros!Z47),(((C10*((100-C11)/100))*((VLOOKUP(C6&amp;C7,Parámetros!F3:W27,13,FALSE))/100)*(Parámetros!Z40-(VLOOKUP(C6&amp;C7,Parámetros!F3:W27,17,FALSE))))/((0.4/100)*(Parámetros!Z43-Parámetros!Z40))),IF(AND(VLOOKUP(C6&amp;C7,Parámetros!F3:W27,17,FALSE)&gt;=Parámetros!Z40,(VLOOKUP(C6&amp;C7,Parámetros!F3:W27,18,FALSE))&gt;Parámetros!Z47),(Parámetros!Z47*('Compostaje '!C10/(VLOOKUP(C6&amp;C7,Parámetros!F3:W27,18,FALSE)))-'Compostaje '!C10)/(1-0.4*Parámetros!Z47/Parámetros!Z46),0)))))</f>
        <v>308.45360824742278</v>
      </c>
      <c r="D13" s="107" t="s">
        <v>42</v>
      </c>
      <c r="E13" s="481" t="str">
        <f>+IF(SUM(C13:C15)&gt;0,VLOOKUP(C6&amp;C7,Comentarios!C4:AJ29,28,FALSE),"")</f>
        <v>Materiales a adicionar para optimizar el inicio del proceso.</v>
      </c>
      <c r="F13" s="476"/>
      <c r="G13" s="99"/>
      <c r="J13" s="82"/>
      <c r="K13" s="266"/>
      <c r="L13" s="268"/>
      <c r="M13" s="82"/>
      <c r="N13" s="82"/>
      <c r="O13" s="82"/>
      <c r="P13" s="82"/>
      <c r="Q13" s="82"/>
    </row>
    <row r="14" spans="2:17" s="83" customFormat="1" ht="17.25" x14ac:dyDescent="0.25">
      <c r="B14" s="96" t="s">
        <v>301</v>
      </c>
      <c r="C14" s="347">
        <f>IF(OR(VLOOKUP(C6&amp;C7,Parámetros!F3:W27,5,FALSE)="",VLOOKUP(C6&amp;C7,Parámetros!F3:W27,6,FALSE)=""),"Aún no contamos con datos para este residuo",IF(OR(VLOOKUP(C6&amp;C7,Parámetros!F3:W27,12,FALSE)="",VLOOKUP(C6&amp;C7,Parámetros!F3:W27,13,FALSE)=""),"No se recomienda esta alternativa de valorización para esta corriente de residuos",IF(((C10*C11/100)/(C13+C10))&lt;Parámetros!Z41/100,((((Parámetros!Z41/100)*(C13+C10))-((C10*(C11/100))))/(1-Parámetros!Z41/100)),0)))</f>
        <v>0</v>
      </c>
      <c r="D14" s="107" t="s">
        <v>299</v>
      </c>
      <c r="E14" s="481"/>
      <c r="F14" s="476"/>
      <c r="G14" s="253"/>
      <c r="J14" s="82"/>
      <c r="K14" s="266"/>
      <c r="L14" s="269"/>
      <c r="M14" s="82"/>
      <c r="N14" s="82"/>
      <c r="O14" s="82"/>
      <c r="P14" s="82"/>
      <c r="Q14" s="82"/>
    </row>
    <row r="15" spans="2:17" s="83" customFormat="1" x14ac:dyDescent="0.25">
      <c r="B15" s="96" t="s">
        <v>302</v>
      </c>
      <c r="C15" s="394">
        <f>IF(OR(VLOOKUP(C6&amp;C7,Parámetros!F3:W27,5,FALSE)="",VLOOKUP(C6&amp;C7,Parámetros!F3:W27,6,FALSE)=""),"Aún no contamos con datos para este residuo",IF(OR(VLOOKUP(C6&amp;C7,Parámetros!F3:W27,12,FALSE)="",VLOOKUP(C6&amp;C7,Parámetros!F3:W27,13,FALSE)=""),"No se recomienda esta alternativa de valorización para esta corriente de residuos",IF((((C10*((100-C11)/100))*(VLOOKUP(C6&amp;C7,Parámetros!F3:W27,12,FALSE))/100)+C13*(Parámetros!Z44/100))/((C10*((100-C11)/100))*((VLOOKUP(C6&amp;C7,Parámetros!F3:W27,13,FALSE))/100)+C13*(Parámetros!Z45/100))&gt;Parámetros!Z40,((((((C10*((100-C11)/100))*((VLOOKUP(C6&amp;C7,Parámetros!F3:W27,12,FALSE))/100))+(C13*Parámetros!Z44/100))/Parámetros!Z40)-(((C10*((100-C11)/100))*((VLOOKUP(C6&amp;C7,Parámetros!F3:W27,13,FALSE))/100))+('Compostaje '!C13*(Parámetros!Z45/100))))/(46/100)),0)))</f>
        <v>0</v>
      </c>
      <c r="D15" s="107" t="s">
        <v>295</v>
      </c>
      <c r="E15" s="481"/>
      <c r="F15" s="476"/>
      <c r="H15" s="80"/>
      <c r="I15" s="80"/>
      <c r="J15" s="82"/>
      <c r="K15" s="266"/>
      <c r="L15" s="270"/>
      <c r="M15" s="82"/>
      <c r="N15" s="82"/>
      <c r="O15" s="82"/>
      <c r="P15" s="82"/>
      <c r="Q15" s="82"/>
    </row>
    <row r="16" spans="2:17" s="353" customFormat="1" x14ac:dyDescent="0.25">
      <c r="B16" s="96"/>
      <c r="C16" s="349"/>
      <c r="D16" s="351"/>
      <c r="E16" s="352"/>
      <c r="F16" s="362"/>
      <c r="G16" s="354"/>
      <c r="H16" s="355"/>
      <c r="J16" s="356"/>
      <c r="K16" s="263"/>
      <c r="L16" s="271"/>
      <c r="M16" s="356"/>
      <c r="N16" s="356"/>
      <c r="O16" s="356"/>
      <c r="P16" s="356"/>
      <c r="Q16" s="356"/>
    </row>
    <row r="17" spans="2:17" s="83" customFormat="1" ht="22.5" x14ac:dyDescent="0.25">
      <c r="B17" s="105" t="s">
        <v>303</v>
      </c>
      <c r="C17" s="290">
        <f>IF(OR(VLOOKUP(C6&amp;C7,Parámetros!F3:W27,5,FALSE)="",VLOOKUP(C6&amp;C7,Parámetros!F3:W27,6,FALSE)=""),"Aún no contamos con datos para este residuo",IF(OR(VLOOKUP(C6&amp;C7,Parámetros!F3:W27,12,FALSE)="",VLOOKUP(C6&amp;C7,Parámetros!F3:W27,13,FALSE)=""),"No se recomienda esta alternativa de valorización para esta corriente de residuos",IF(VLOOKUP(C6&amp;C7,Parámetros!F3:X27,19,FALSE)="No",0,(((C10/(VLOOKUP(C6&amp;C7,Parámetros!F3:W27,18,FALSE)))/(VLOOKUP(C6&amp;C7,Parámetros!F3:W27,4,FALSE)))*10*1.1))+(((IF(C13&gt;0,(((C13/Parámetros!Z46)*0.4+C10/(VLOOKUP(C6&amp;C7,Parámetros!F3:W27,18,FALSE)))*(100-5)/100),(C10/(VLOOKUP(C6&amp;C7,Parámetros!F3:W27,18,FALSE)))))/(VLOOKUP(C6&amp;C7,Parámetros!F3:W27,4,FALSE)))*35*3.35)+((((((C13/Parámetros!Z46)*0.4)+C10/(VLOOKUP(C6&amp;C7,Parámetros!F3:W27,18,FALSE)))/(VLOOKUP(C6&amp;C7,Parámetros!F3:W27,4,FALSE)))*(IF(C13&gt;0,((100-5)/100)*((100-30)/100),((100-30)/100))))*35*2.34)))</f>
        <v>5754.5799576504378</v>
      </c>
      <c r="D17" s="70" t="s">
        <v>196</v>
      </c>
      <c r="E17" s="342" t="str">
        <f>IF(C19&gt;0,VLOOKUP(C6&amp;C7,Comentarios!C4:AJ29,29,FALSE),"")</f>
        <v>Considerando acopio de residuos para 10 días de generación, playa para compostaje de 10 semanas, laguna preexistente.</v>
      </c>
      <c r="F17" s="97"/>
      <c r="H17" s="85"/>
      <c r="J17" s="100"/>
      <c r="K17" s="263"/>
      <c r="L17" s="263"/>
      <c r="M17" s="82"/>
      <c r="N17" s="82"/>
      <c r="O17" s="82"/>
      <c r="P17" s="82"/>
      <c r="Q17" s="82"/>
    </row>
    <row r="18" spans="2:17" s="83" customFormat="1" x14ac:dyDescent="0.25">
      <c r="B18" s="105"/>
      <c r="C18" s="291"/>
      <c r="D18" s="70"/>
      <c r="E18" s="342"/>
      <c r="F18" s="97"/>
      <c r="G18" s="80"/>
      <c r="J18" s="82"/>
      <c r="K18" s="81"/>
      <c r="L18" s="81"/>
      <c r="M18" s="81"/>
      <c r="N18" s="82"/>
      <c r="O18" s="82"/>
      <c r="P18" s="82"/>
      <c r="Q18" s="82"/>
    </row>
    <row r="19" spans="2:17" s="83" customFormat="1" x14ac:dyDescent="0.25">
      <c r="B19" s="474" t="s">
        <v>393</v>
      </c>
      <c r="C19" s="291">
        <f>IF(OR(VLOOKUP(C6&amp;C7,Parámetros!F3:W27,5,FALSE)="",VLOOKUP(C6&amp;C7,Parámetros!F3:W27,6,FALSE)=""),"Aún no contamos con datos para este residuo",IF(OR(VLOOKUP(C6&amp;C7,Parámetros!F3:W27,12,FALSE)="",VLOOKUP(C6&amp;C7,Parámetros!F3:W27,13,FALSE)=""),"No se recomienda esta alternativa de valorización para esta corriente de residuos",IF(C13&gt;0,((((C13/Parámetros!Z46)*0.4+C10/(VLOOKUP(C6&amp;C7,Parámetros!F3:W27,18,FALSE)))*((100-Parámetros!Z42)/100))*Parámetros!Z34),(((C10/(VLOOKUP(C6&amp;C7,Parámetros!F3:W27,18,FALSE)))*((100-51)/100))*Parámetros!Z34))))</f>
        <v>2308.0854937299696</v>
      </c>
      <c r="D19" s="70" t="s">
        <v>295</v>
      </c>
      <c r="E19" s="473" t="str">
        <f>IF(C19&gt;0,VLOOKUP(C6&amp;C7,Comentarios!C4:AJ29,30,FALSE),"")</f>
        <v xml:space="preserve">Proceso a cielo abierto, 2 pilas triangulares (50x2x1,2m)/calle, con tractor y volteadora de tiro. </v>
      </c>
      <c r="F19" s="97"/>
      <c r="G19" s="85"/>
      <c r="J19" s="82"/>
      <c r="K19" s="81"/>
      <c r="L19" s="81"/>
      <c r="M19" s="81"/>
      <c r="N19" s="82"/>
      <c r="O19" s="82"/>
      <c r="P19" s="82"/>
      <c r="Q19" s="82"/>
    </row>
    <row r="20" spans="2:17" s="83" customFormat="1" ht="17.25" x14ac:dyDescent="0.25">
      <c r="B20" s="474"/>
      <c r="C20" s="291">
        <f>IF(OR(VLOOKUP(C6&amp;C7,Parámetros!F3:W27,5,FALSE)="",VLOOKUP(C6&amp;C7,Parámetros!F3:W27,6,FALSE)=""),"Aún no contamos con datos para este residuo",IF(OR(VLOOKUP(C6&amp;C7,Parámetros!F3:W27,12,FALSE)="",VLOOKUP(C6&amp;C7,Parámetros!F3:W27,13,FALSE)=""),"No se recomienda esta alternativa de valorización para esta corriente de residuos",C19/Parámetros!Z34))</f>
        <v>2959.0839663204738</v>
      </c>
      <c r="D20" s="70" t="s">
        <v>296</v>
      </c>
      <c r="E20" s="473"/>
      <c r="F20" s="97"/>
      <c r="H20" s="80"/>
      <c r="J20" s="100"/>
      <c r="K20" s="81"/>
      <c r="L20" s="81"/>
      <c r="M20" s="81"/>
      <c r="N20" s="82"/>
      <c r="O20" s="82"/>
      <c r="P20" s="82"/>
      <c r="Q20" s="82"/>
    </row>
    <row r="21" spans="2:17" s="83" customFormat="1" x14ac:dyDescent="0.25">
      <c r="B21" s="444"/>
      <c r="C21" s="291"/>
      <c r="D21" s="70"/>
      <c r="E21" s="342"/>
      <c r="F21" s="97"/>
      <c r="G21" s="80"/>
      <c r="H21" s="80"/>
      <c r="J21" s="82"/>
      <c r="K21" s="81"/>
      <c r="L21" s="81"/>
      <c r="M21" s="81"/>
      <c r="N21" s="82"/>
      <c r="O21" s="82"/>
      <c r="P21" s="82"/>
      <c r="Q21" s="82"/>
    </row>
    <row r="22" spans="2:17" s="83" customFormat="1" ht="30" customHeight="1" x14ac:dyDescent="0.25">
      <c r="B22" s="444" t="s">
        <v>297</v>
      </c>
      <c r="C22" s="291">
        <f>IF(OR(VLOOKUP(C6&amp;C7,Parámetros!F3:W27,5,FALSE)="",VLOOKUP(C6&amp;C7,Parámetros!F3:W27,6,FALSE)=""),"Aún no contamos con datos para este residuo",IF(OR(VLOOKUP(C6&amp;C7,Parámetros!F3:W27,12,FALSE)="",VLOOKUP(C6&amp;C7,Parámetros!F3:W27,13,FALSE)=""),"No se recomienda esta alternativa de valorización para esta corriente de residuos",(((Parámetros!Z53+Parámetros!Z54)*Parámetros!AG9)+Parámetros!Z55+Parámetros!Z57)*(C13+C10)+Parámetros!Z56*(C13/(0.3))+C15*Parámetros!Z58))</f>
        <v>23035.267878787879</v>
      </c>
      <c r="D22" s="71" t="s">
        <v>89</v>
      </c>
      <c r="E22" s="342" t="str">
        <f>VLOOKUP(C6&amp;C7,Comentarios!C4:AJ29,31,FALSE)</f>
        <v>Mano de obra, combustible para tractor, mantenimiento maquinaria, fardos/Urea para mezclar con residuos.</v>
      </c>
      <c r="F22" s="97"/>
      <c r="G22" s="80"/>
      <c r="H22" s="80"/>
      <c r="J22" s="82"/>
      <c r="K22" s="81"/>
      <c r="L22" s="81"/>
      <c r="M22" s="81"/>
      <c r="N22" s="82"/>
      <c r="O22" s="82"/>
      <c r="P22" s="82"/>
      <c r="Q22" s="82"/>
    </row>
    <row r="23" spans="2:17" s="83" customFormat="1" x14ac:dyDescent="0.25">
      <c r="B23" s="438" t="s">
        <v>298</v>
      </c>
      <c r="C23" s="291">
        <f>IF(OR(VLOOKUP(C6&amp;C7,Parámetros!F3:W27,5,FALSE)="",VLOOKUP(C6&amp;C7,Parámetros!F3:W27,6,FALSE)=""),"Aún no contamos con datos para este residuo",IF(OR(VLOOKUP(C6&amp;C7,Parámetros!F3:W27,12,FALSE)="",VLOOKUP(C6&amp;C7,Parámetros!F3:W27,13,FALSE)=""),"No se recomienda esta alternativa de valorización para esta corriente de residuos",IF(VLOOKUP(C6&amp;C7,Parámetros!F3:X27,19,FALSE)="No",0,(((C10/(VLOOKUP(C6&amp;C7,Parámetros!F3:W27,18,FALSE)))/(VLOOKUP(C6&amp;C7,Parámetros!F3:W27,4,FALSE)))*10*1.1))*Parámetros!Z50+((IF(C13&gt;0,(((C13/Parámetros!Z46)*0.4+C10/(VLOOKUP(C6&amp;C7,Parámetros!F3:W27,18,FALSE)))*((100-5)/100)),(C10/(VLOOKUP(C6&amp;C7,Parámetros!F3:W27,18,FALSE))))/VLOOKUP(C6&amp;C7,Parámetros!F3:W27,4,FALSE))*35*3.35)*Parámetros!Z51+Parámetros!Z49))</f>
        <v>27150.361236024499</v>
      </c>
      <c r="D23" s="70" t="s">
        <v>95</v>
      </c>
      <c r="E23" s="342" t="str">
        <f>VLOOKUP(C6&amp;C7,Comentarios!C4:AJ29,32,FALSE)</f>
        <v>Acondicionamiento del sitio de acopio de residuos y playa de compostaje, compra de volteadora.</v>
      </c>
      <c r="F23" s="97"/>
      <c r="G23" s="80"/>
      <c r="H23" s="80"/>
      <c r="J23" s="82"/>
      <c r="K23" s="81"/>
      <c r="L23" s="81"/>
      <c r="M23" s="81"/>
      <c r="N23" s="82"/>
      <c r="O23" s="82"/>
      <c r="P23" s="82"/>
      <c r="Q23" s="82"/>
    </row>
    <row r="24" spans="2:17" s="83" customFormat="1" x14ac:dyDescent="0.25">
      <c r="B24" s="438"/>
      <c r="C24" s="106"/>
      <c r="D24" s="70" t="str">
        <f>+IF(C22="Si","m3 de chip de madera/año","")</f>
        <v/>
      </c>
      <c r="E24" s="341"/>
      <c r="F24" s="97"/>
      <c r="G24" s="80"/>
      <c r="H24" s="80"/>
      <c r="J24" s="82"/>
      <c r="K24" s="81"/>
      <c r="L24" s="81"/>
      <c r="M24" s="81"/>
      <c r="N24" s="82"/>
      <c r="O24" s="82"/>
      <c r="P24" s="82"/>
      <c r="Q24" s="82"/>
    </row>
    <row r="25" spans="2:17" s="83" customFormat="1" x14ac:dyDescent="0.25">
      <c r="B25" s="438" t="s">
        <v>357</v>
      </c>
      <c r="C25" s="439">
        <f>IF(OR(VLOOKUP(C6&amp;C7,Parámetros!F3:W27,5,FALSE)="",VLOOKUP(C6&amp;C7,Parámetros!F3:W27,6,FALSE)=""),"Aún no contamos con datos para este residuo",IF(OR(VLOOKUP(C6&amp;C7,Parámetros!F3:W27,12,FALSE)="",VLOOKUP(C6&amp;C7,Parámetros!F3:W27,13,FALSE)=""),"No se recomienda esta alternativa de valorización para esta corriente de residuos",(C19*(Parámetros!Z35/100)*((100-Parámetros!Z33)/100)*100/1875)/3))</f>
        <v>8.9188526740825989</v>
      </c>
      <c r="D25" s="107" t="s">
        <v>356</v>
      </c>
      <c r="E25" s="440" t="str">
        <f>VLOOKUP(C6&amp;C7,Comentarios!C4:AJ29,33,FALSE)</f>
        <v>Incrementan 3% su materia orgánica post aplicación del compost producido.</v>
      </c>
      <c r="F25" s="97"/>
      <c r="G25" s="80"/>
      <c r="H25" s="80"/>
      <c r="I25" s="112"/>
      <c r="J25" s="82"/>
      <c r="K25" s="81"/>
      <c r="L25" s="81"/>
      <c r="M25" s="81"/>
      <c r="N25" s="82"/>
      <c r="O25" s="82"/>
      <c r="P25" s="82"/>
      <c r="Q25" s="82"/>
    </row>
    <row r="26" spans="2:17" s="419" customFormat="1" ht="24" customHeight="1" x14ac:dyDescent="0.25">
      <c r="B26" s="446" t="s">
        <v>401</v>
      </c>
      <c r="C26" s="439" t="str">
        <f>IF(OR(VLOOKUP(C6&amp;C7,Parámetros!F3:W27,5,FALSE)="",VLOOKUP(C6&amp;C7,Parámetros!F3:W27,6,FALSE)=""),"Aún no contamos con datos para este residuo",IF(OR(VLOOKUP(C6&amp;C7,Parámetros!F3:W27,12,FALSE)="",VLOOKUP(C6&amp;C7,Parámetros!F3:W27,13,FALSE)=""),"No se recomienda esta alternativa de valorización para esta corriente de residuos",FIXED($C$19*((100-Parámetros!$Z$33)/100)*(Parámetros!Z37/100),1,FALSE)&amp;" / "&amp;FIXED($C$19*((100-Parámetros!$Z$33)/100)*(Parámetros!Z38/100),1,FALSE)&amp;" / "&amp;FIXED($C$19*((100-Parámetros!$Z$33)/100)*(Parámetros!Z39/100),1,FALSE)))</f>
        <v>21,3 / 18,1 / 5,2</v>
      </c>
      <c r="D26" s="107" t="s">
        <v>295</v>
      </c>
      <c r="E26" s="358" t="str">
        <f>VLOOKUP(C6&amp;C7,Comentarios!C4:AL29,36,FALSE)</f>
        <v>Compost: 1,4 % de N; 1,2 % de P2O5; 0,35 % de K2O.</v>
      </c>
      <c r="F26" s="97"/>
      <c r="G26" s="80"/>
      <c r="H26" s="80"/>
      <c r="J26" s="82"/>
      <c r="K26" s="111"/>
      <c r="L26" s="111"/>
      <c r="M26" s="111"/>
      <c r="N26" s="82"/>
      <c r="O26" s="82"/>
      <c r="P26" s="82"/>
      <c r="Q26" s="82"/>
    </row>
    <row r="27" spans="2:17" s="419" customFormat="1" x14ac:dyDescent="0.25">
      <c r="B27" s="438"/>
      <c r="C27" s="441"/>
      <c r="D27" s="441"/>
      <c r="E27" s="358"/>
      <c r="F27" s="97"/>
      <c r="G27" s="80"/>
      <c r="H27" s="80"/>
      <c r="J27" s="82"/>
      <c r="K27" s="111"/>
      <c r="L27" s="111"/>
      <c r="M27" s="111"/>
      <c r="N27" s="82"/>
      <c r="O27" s="82"/>
      <c r="P27" s="82"/>
      <c r="Q27" s="82"/>
    </row>
    <row r="28" spans="2:17" s="83" customFormat="1" x14ac:dyDescent="0.25">
      <c r="B28" s="438" t="s">
        <v>304</v>
      </c>
      <c r="C28" s="442">
        <f>IF(OR(VLOOKUP(C6&amp;C7,Parámetros!F3:W27,5,FALSE)="",VLOOKUP(C6&amp;C7,Parámetros!F3:W27,6,FALSE)=""),"Aún no contamos con datos para este residuo",IF(OR(VLOOKUP(C6&amp;C7,Parámetros!F3:W27,12,FALSE)="",VLOOKUP(C6&amp;C7,Parámetros!F3:W27,13,FALSE)=""),"No se recomienda esta alternativa de valorización para esta corriente de residuos",(((C19*((100-Parámetros!Z33)/100)*(Parámetros!Z37/100)))/(46/100))*Parámetros!Z58+(((C19*(100-Parámetros!$Z$33)/100)*(Parámetros!Z38/100))/(46/100))*Parámetros!Z59+(((C19*(100-Parámetros!$Z$33)/100)*(Parámetros!Z39/100))/(60/100))*Parámetros!Z60))</f>
        <v>39099.856374943054</v>
      </c>
      <c r="D28" s="107" t="s">
        <v>89</v>
      </c>
      <c r="E28" s="358" t="str">
        <f>VLOOKUP(C6&amp;C7,Comentarios!C4:AJ29,34,FALSE)</f>
        <v>El N-P-K del compost producido aplicado al suelo sustituye al que era aportado por fertilizantes inorgánicos.</v>
      </c>
      <c r="F28" s="443"/>
      <c r="G28" s="80"/>
      <c r="H28" s="80"/>
      <c r="I28" s="112"/>
      <c r="J28" s="82"/>
      <c r="K28" s="81"/>
      <c r="L28" s="81"/>
      <c r="M28" s="81"/>
      <c r="N28" s="82"/>
      <c r="O28" s="82"/>
      <c r="P28" s="82"/>
      <c r="Q28" s="82"/>
    </row>
    <row r="29" spans="2:17" s="83" customFormat="1" x14ac:dyDescent="0.25">
      <c r="B29" s="93"/>
      <c r="C29" s="418"/>
      <c r="D29" s="80"/>
      <c r="E29" s="341"/>
      <c r="F29" s="97"/>
      <c r="G29" s="81"/>
      <c r="H29" s="112"/>
      <c r="I29" s="112"/>
      <c r="J29" s="82"/>
      <c r="K29" s="81"/>
      <c r="L29" s="81"/>
      <c r="M29" s="81"/>
      <c r="N29" s="82"/>
      <c r="O29" s="82"/>
      <c r="P29" s="82"/>
      <c r="Q29" s="82"/>
    </row>
    <row r="30" spans="2:17" s="3" customFormat="1" ht="39.75" customHeight="1" thickBot="1" x14ac:dyDescent="0.3">
      <c r="B30" s="422" t="s">
        <v>324</v>
      </c>
      <c r="C30" s="423">
        <f>IF(OR(VLOOKUP(C6&amp;C7,Parámetros!F3:W27,5,FALSE)="",VLOOKUP(C6&amp;C7,Parámetros!F3:W27,6,FALSE)=""),"Aún no contamos con datos para este residuo",IF(OR(VLOOKUP(C6&amp;C7,Parámetros!F3:W27,12,FALSE)="",VLOOKUP(C6&amp;C7,Parámetros!F3:W27,13,FALSE)=""),"No se recomienda esta alternativa de valorización para esta corriente de residuos",C10*VLOOKUP(C6&amp;C7,Parámetros!F3:W27,6,FALSE)/100*VLOOKUP(C6&amp;C7,Parámetros!F3:W27,7,FALSE)/100*VLOOKUP(C6&amp;C7,Parámetros!F3:W27,8,FALSE)*0.67*Parámetros!Z79/100*Parámetros!AE67+C10*VLOOKUP(C6&amp;C7,Parámetros!F3:W27,6,FALSE)/100*VLOOKUP(C6&amp;C7,Parámetros!F3:W27,13,FALSE)/100*Parámetros!Z80*44/28*1000*Parámetros!AE68+C10*VLOOKUP(C6&amp;C7,Parámetros!F3:W27,6,FALSE)/100*VLOOKUP(C6&amp;C7,Parámetros!F3:W27,13,FALSE)/100*1000*Parámetros!Z81/100*Parámetros!Z82*44/28*Parámetros!AE68+C10*VLOOKUP(C6&amp;C7,Parámetros!F3:W27,6,FALSE)/100*VLOOKUP(C6&amp;C7,Parámetros!F3:W27,13,FALSE)/100*1000*Parámetros!Z83/100*Parámetros!Z84*44/28*Parámetros!AE68+C10*VLOOKUP(C6&amp;C7,Parámetros!F3:W27,6,FALSE)/100*VLOOKUP(C6&amp;C7,Parámetros!F3:W27,7,FALSE)/100*(1-Parámetros!Z86/100)*VLOOKUP(C6&amp;C7,Parámetros!F3:W27,8,FALSE)*0.67*Parámetros!Z85/100*Parámetros!AE67+C19*(1-Parámetros!Z33/100)*Parámetros!Z37/100*Parámetros!Z87/100*Parámetros!Z88*44/28*1000*Parámetros!AE68+C19*(1-Parámetros!Z33/100)*Parámetros!Z37/100*Parámetros!Z89/100*Parámetros!Z90*44/28*1000*Parámetros!AE68)-C19*Parámetros!Z37/100*Parámetros!Z68)</f>
        <v>35197.569694186568</v>
      </c>
      <c r="D30" s="424" t="s">
        <v>311</v>
      </c>
      <c r="E30" s="437" t="str">
        <f>IF(VLOOKUP(C6&amp;C7,Comentarios!C4:AL29,35,FALSE)="","",VLOOKUP(C6&amp;C7,Comentarios!C4:AL29,35,FALSE))</f>
        <v>Se asumen las emisones directas de CH4 y N2O en el proceso de compostaje, las emisiones indirectas por volatilización y lixiviación en el compostaje y en la aplicación de compost, y las emisiones evitadas por sustitución de fertilizantes.</v>
      </c>
      <c r="H30" s="8"/>
      <c r="I30" s="8"/>
      <c r="J30" s="10"/>
    </row>
    <row r="31" spans="2:17" s="368" customFormat="1" x14ac:dyDescent="0.25">
      <c r="B31" s="111"/>
      <c r="C31" s="101"/>
      <c r="D31" s="111"/>
      <c r="E31" s="338"/>
      <c r="F31" s="97"/>
      <c r="G31" s="111"/>
      <c r="J31" s="82"/>
      <c r="K31" s="111"/>
      <c r="L31" s="111"/>
      <c r="M31" s="111"/>
      <c r="N31" s="82"/>
      <c r="O31" s="82"/>
      <c r="P31" s="82"/>
      <c r="Q31" s="82"/>
    </row>
    <row r="32" spans="2:17" s="368" customFormat="1" ht="18" hidden="1" x14ac:dyDescent="0.25">
      <c r="B32" s="411" t="s">
        <v>340</v>
      </c>
      <c r="C32" s="311">
        <f>C10*VLOOKUP(C6&amp;C7,Parámetros!F3:W27,6,FALSE)/100*VLOOKUP(C6&amp;C7,Parámetros!F3:W27,7,FALSE)/100*VLOOKUP(C6&amp;C7,Parámetros!F3:W27,8,FALSE)*0.67*Parámetros!Z79/100*Parámetros!AE67</f>
        <v>5193.84</v>
      </c>
      <c r="D32" s="10" t="s">
        <v>327</v>
      </c>
      <c r="F32" s="97"/>
      <c r="G32" s="111"/>
      <c r="J32" s="82"/>
      <c r="K32" s="111"/>
      <c r="L32" s="111"/>
      <c r="M32" s="111"/>
      <c r="N32" s="82"/>
      <c r="O32" s="82"/>
      <c r="P32" s="82"/>
      <c r="Q32" s="82"/>
    </row>
    <row r="33" spans="2:17" s="368" customFormat="1" ht="18" hidden="1" x14ac:dyDescent="0.25">
      <c r="B33" s="411" t="s">
        <v>342</v>
      </c>
      <c r="C33" s="106">
        <f>C10*VLOOKUP(C6&amp;C7,Parámetros!F3:W27,6,FALSE)/100*VLOOKUP(C6&amp;C7,Parámetros!F3:W27,13,FALSE)/100*Parámetros!Z80*44/28*1000*Parámetros!AE68</f>
        <v>41396.457142857143</v>
      </c>
      <c r="D33" s="70" t="s">
        <v>327</v>
      </c>
      <c r="E33" s="338"/>
      <c r="F33" s="97"/>
      <c r="G33" s="111"/>
      <c r="J33" s="82"/>
      <c r="K33" s="111"/>
      <c r="L33" s="111"/>
      <c r="M33" s="111"/>
      <c r="N33" s="82"/>
      <c r="O33" s="82"/>
      <c r="P33" s="82"/>
      <c r="Q33" s="82"/>
    </row>
    <row r="34" spans="2:17" s="368" customFormat="1" ht="18" hidden="1" x14ac:dyDescent="0.25">
      <c r="B34" s="411" t="s">
        <v>341</v>
      </c>
      <c r="C34" s="106">
        <f>C10*VLOOKUP(C6&amp;C7,Parámetros!F3:W27,6,FALSE)/100*VLOOKUP(C6&amp;C7,Parámetros!F3:W27,13,FALSE)/100*1000*Parámetros!Z81/100*Parámetros!Z82*44/28*Parámetros!AE68</f>
        <v>12418.937142857141</v>
      </c>
      <c r="D34" s="70" t="s">
        <v>327</v>
      </c>
      <c r="E34" s="338"/>
      <c r="F34" s="97"/>
      <c r="G34" s="111"/>
      <c r="J34" s="82"/>
      <c r="K34" s="111"/>
      <c r="L34" s="111"/>
      <c r="M34" s="111"/>
      <c r="N34" s="82"/>
      <c r="O34" s="82"/>
      <c r="P34" s="82"/>
      <c r="Q34" s="82"/>
    </row>
    <row r="35" spans="2:17" s="368" customFormat="1" ht="18" hidden="1" x14ac:dyDescent="0.25">
      <c r="B35" s="411" t="s">
        <v>345</v>
      </c>
      <c r="C35" s="311">
        <f>C10*VLOOKUP(C6&amp;C7,Parámetros!F3:W27,6,FALSE)/100*VLOOKUP(C6&amp;C7,Parámetros!F3:W27,13,FALSE)/100*1000*Parámetros!Z83/100*Parámetros!Z84*44/28*Parámetros!AE68</f>
        <v>3104.7342857142853</v>
      </c>
      <c r="D35" s="70" t="s">
        <v>327</v>
      </c>
      <c r="E35" s="338"/>
      <c r="F35" s="97"/>
      <c r="G35" s="111"/>
      <c r="J35" s="82"/>
      <c r="K35" s="111"/>
      <c r="L35" s="111"/>
      <c r="M35" s="111"/>
      <c r="N35" s="82"/>
      <c r="O35" s="82"/>
      <c r="P35" s="82"/>
      <c r="Q35" s="82"/>
    </row>
    <row r="36" spans="2:17" s="368" customFormat="1" ht="30" hidden="1" x14ac:dyDescent="0.25">
      <c r="B36" s="411" t="s">
        <v>348</v>
      </c>
      <c r="C36" s="106">
        <f>C10*VLOOKUP(C6&amp;C7,Parámetros!F3:W27,6,FALSE)/100*VLOOKUP(C6&amp;C7,Parámetros!F3:W27,7,FALSE)/100*(1-Parámetros!Z86/100)*VLOOKUP(C6&amp;C7,Parámetros!F3:W27,8,FALSE)*0.67*Parámetros!Z85/100*Parámetros!AE67</f>
        <v>2077.5360000000001</v>
      </c>
      <c r="D36" s="70" t="s">
        <v>327</v>
      </c>
      <c r="E36" s="338"/>
      <c r="F36" s="97"/>
      <c r="G36" s="111"/>
      <c r="J36" s="82"/>
      <c r="K36" s="111"/>
      <c r="L36" s="111"/>
      <c r="M36" s="111"/>
      <c r="N36" s="82"/>
      <c r="O36" s="82"/>
      <c r="P36" s="82"/>
      <c r="Q36" s="82"/>
    </row>
    <row r="37" spans="2:17" s="368" customFormat="1" ht="30" hidden="1" x14ac:dyDescent="0.25">
      <c r="B37" s="411" t="s">
        <v>349</v>
      </c>
      <c r="C37" s="106">
        <f>C19*(1-Parámetros!Z33/100)*Parámetros!Z37/100*Parámetros!Z87/100*Parámetros!Z88*44/28*1000*Parámetros!AE68</f>
        <v>6983.3296213164331</v>
      </c>
      <c r="D37" s="70" t="s">
        <v>327</v>
      </c>
      <c r="E37" s="338"/>
      <c r="F37" s="97"/>
      <c r="G37" s="111"/>
      <c r="J37" s="82"/>
      <c r="K37" s="111"/>
      <c r="L37" s="111"/>
      <c r="M37" s="111"/>
      <c r="N37" s="82"/>
      <c r="O37" s="82"/>
      <c r="P37" s="82"/>
      <c r="Q37" s="82"/>
    </row>
    <row r="38" spans="2:17" s="368" customFormat="1" ht="30" hidden="1" x14ac:dyDescent="0.25">
      <c r="B38" s="411" t="s">
        <v>350</v>
      </c>
      <c r="C38" s="106">
        <f>C19*(1-Parámetros!Z33/100)*Parámetros!Z37/100*Parámetros!Z89/100*Parámetros!Z90*44/28*1000*Parámetros!AE68</f>
        <v>7482.1388799818915</v>
      </c>
      <c r="D38" s="70" t="s">
        <v>327</v>
      </c>
      <c r="E38" s="338"/>
      <c r="F38" s="97"/>
      <c r="G38" s="111"/>
      <c r="J38" s="82"/>
      <c r="K38" s="111"/>
      <c r="L38" s="111"/>
      <c r="M38" s="111"/>
      <c r="N38" s="82"/>
      <c r="O38" s="82"/>
      <c r="P38" s="82"/>
      <c r="Q38" s="82"/>
    </row>
    <row r="39" spans="2:17" s="368" customFormat="1" ht="18" hidden="1" x14ac:dyDescent="0.25">
      <c r="B39" s="411" t="s">
        <v>331</v>
      </c>
      <c r="C39" s="106">
        <f>-C19*Parámetros!Z37/100*Parámetros!Z68</f>
        <v>-43459.403378540337</v>
      </c>
      <c r="D39" s="70" t="s">
        <v>327</v>
      </c>
      <c r="E39" s="338"/>
      <c r="F39" s="97"/>
      <c r="G39" s="111"/>
      <c r="J39" s="82"/>
      <c r="K39" s="111"/>
      <c r="L39" s="111"/>
      <c r="M39" s="111"/>
      <c r="N39" s="82"/>
      <c r="O39" s="82"/>
      <c r="P39" s="82"/>
      <c r="Q39" s="82"/>
    </row>
    <row r="40" spans="2:17" s="368" customFormat="1" ht="18" hidden="1" x14ac:dyDescent="0.25">
      <c r="B40" s="415" t="s">
        <v>333</v>
      </c>
      <c r="C40" s="416">
        <f>SUM(C32:C39)</f>
        <v>35197.569694186568</v>
      </c>
      <c r="D40" s="417" t="s">
        <v>334</v>
      </c>
      <c r="E40" s="338"/>
      <c r="F40" s="97"/>
      <c r="G40" s="111"/>
      <c r="J40" s="82"/>
      <c r="K40" s="111"/>
      <c r="L40" s="111"/>
      <c r="M40" s="111"/>
      <c r="N40" s="82"/>
      <c r="O40" s="82"/>
      <c r="P40" s="82"/>
      <c r="Q40" s="82"/>
    </row>
    <row r="41" spans="2:17" s="368" customFormat="1" x14ac:dyDescent="0.25">
      <c r="B41" s="111"/>
      <c r="C41" s="101"/>
      <c r="D41" s="111"/>
      <c r="E41" s="338"/>
      <c r="F41" s="97"/>
      <c r="G41" s="111"/>
      <c r="J41" s="82"/>
      <c r="K41" s="111"/>
      <c r="L41" s="111"/>
      <c r="M41" s="111"/>
      <c r="N41" s="82"/>
      <c r="O41" s="82"/>
      <c r="P41" s="82"/>
      <c r="Q41" s="82"/>
    </row>
    <row r="42" spans="2:17" s="83" customFormat="1" ht="21.75" customHeight="1" x14ac:dyDescent="0.25">
      <c r="B42" s="114" t="s">
        <v>220</v>
      </c>
      <c r="E42" s="338"/>
      <c r="G42" s="81"/>
      <c r="H42" s="81"/>
      <c r="I42" s="81"/>
      <c r="J42" s="82"/>
      <c r="K42" s="81"/>
      <c r="L42" s="81"/>
      <c r="M42" s="81"/>
      <c r="N42" s="82"/>
      <c r="O42" s="82"/>
      <c r="P42" s="82"/>
      <c r="Q42" s="82"/>
    </row>
    <row r="43" spans="2:17" s="112" customFormat="1" ht="21.75" customHeight="1" x14ac:dyDescent="0.25">
      <c r="B43" s="113" t="s">
        <v>223</v>
      </c>
      <c r="E43" s="338"/>
      <c r="G43" s="111"/>
      <c r="H43" s="83"/>
      <c r="I43" s="83"/>
      <c r="J43" s="82"/>
      <c r="K43" s="111"/>
      <c r="L43" s="111"/>
      <c r="M43" s="111"/>
      <c r="N43" s="82"/>
      <c r="O43" s="82"/>
      <c r="P43" s="82"/>
      <c r="Q43" s="82"/>
    </row>
    <row r="44" spans="2:17" s="83" customFormat="1" ht="21.75" customHeight="1" x14ac:dyDescent="0.25">
      <c r="B44" s="115" t="s">
        <v>221</v>
      </c>
      <c r="C44" s="117"/>
      <c r="D44" s="117"/>
      <c r="E44" s="337"/>
      <c r="G44" s="81"/>
      <c r="J44" s="82"/>
      <c r="K44" s="81"/>
      <c r="L44" s="81"/>
      <c r="M44" s="81"/>
      <c r="N44" s="81"/>
      <c r="O44" s="82"/>
      <c r="P44" s="82"/>
      <c r="Q44" s="82"/>
    </row>
    <row r="45" spans="2:17" s="83" customFormat="1" ht="21.75" customHeight="1" x14ac:dyDescent="0.25">
      <c r="B45" s="115" t="s">
        <v>222</v>
      </c>
      <c r="C45" s="117"/>
      <c r="D45" s="117"/>
      <c r="E45" s="337"/>
      <c r="F45" s="81"/>
      <c r="G45" s="81"/>
      <c r="J45" s="82"/>
      <c r="K45" s="81"/>
      <c r="L45" s="81"/>
      <c r="M45" s="81"/>
      <c r="N45" s="81"/>
      <c r="O45" s="82"/>
      <c r="P45" s="82"/>
      <c r="Q45" s="82"/>
    </row>
    <row r="46" spans="2:17" s="282" customFormat="1" ht="21.75" customHeight="1" x14ac:dyDescent="0.25">
      <c r="B46" s="115"/>
      <c r="C46" s="117"/>
      <c r="D46" s="117"/>
      <c r="E46" s="337"/>
      <c r="F46" s="111"/>
      <c r="G46" s="111"/>
      <c r="J46" s="82"/>
      <c r="K46" s="111"/>
      <c r="L46" s="111"/>
      <c r="M46" s="111"/>
      <c r="N46" s="111"/>
      <c r="O46" s="82"/>
      <c r="P46" s="82"/>
      <c r="Q46" s="82"/>
    </row>
    <row r="47" spans="2:17" s="345" customFormat="1" ht="30.75" customHeight="1" x14ac:dyDescent="0.25">
      <c r="B47" s="463" t="s">
        <v>80</v>
      </c>
      <c r="C47" s="463"/>
      <c r="D47" s="463"/>
      <c r="E47" s="463"/>
    </row>
    <row r="48" spans="2:17" s="345" customFormat="1" ht="30" customHeight="1" x14ac:dyDescent="0.25">
      <c r="B48" s="463" t="s">
        <v>65</v>
      </c>
      <c r="C48" s="463"/>
      <c r="D48" s="463"/>
      <c r="E48" s="463"/>
    </row>
    <row r="49" spans="2:17" s="345" customFormat="1" ht="32.25" customHeight="1" x14ac:dyDescent="0.25">
      <c r="B49" s="463" t="s">
        <v>66</v>
      </c>
      <c r="C49" s="463"/>
      <c r="D49" s="463"/>
      <c r="E49" s="463"/>
    </row>
    <row r="50" spans="2:17" s="345" customFormat="1" ht="30" customHeight="1" x14ac:dyDescent="0.25">
      <c r="B50" s="463" t="s">
        <v>128</v>
      </c>
      <c r="C50" s="463"/>
      <c r="D50" s="463"/>
      <c r="E50" s="463"/>
    </row>
    <row r="51" spans="2:17" s="345" customFormat="1" ht="33" customHeight="1" x14ac:dyDescent="0.25">
      <c r="B51" s="463" t="s">
        <v>67</v>
      </c>
      <c r="C51" s="463"/>
      <c r="D51" s="463"/>
      <c r="E51" s="463"/>
    </row>
    <row r="52" spans="2:17" s="282" customFormat="1" ht="21.75" customHeight="1" x14ac:dyDescent="0.25">
      <c r="B52" s="115"/>
      <c r="C52" s="117"/>
      <c r="D52" s="117"/>
      <c r="E52" s="337"/>
      <c r="F52" s="111"/>
      <c r="G52" s="111"/>
      <c r="J52" s="82"/>
      <c r="K52" s="111"/>
      <c r="L52" s="111"/>
      <c r="M52" s="111"/>
      <c r="N52" s="111"/>
      <c r="O52" s="82"/>
      <c r="P52" s="82"/>
      <c r="Q52" s="82"/>
    </row>
    <row r="53" spans="2:17" s="83" customFormat="1" hidden="1" x14ac:dyDescent="0.25">
      <c r="B53" s="86" t="s">
        <v>0</v>
      </c>
      <c r="C53" s="87" t="s">
        <v>30</v>
      </c>
      <c r="D53" s="44" t="str">
        <f>VLOOKUP(C6,B54:C64,2,FALSE)</f>
        <v>feedlot</v>
      </c>
      <c r="E53" s="337"/>
      <c r="F53" s="81"/>
      <c r="G53" s="81"/>
      <c r="J53" s="82"/>
      <c r="K53" s="81"/>
      <c r="L53" s="81"/>
      <c r="M53" s="81"/>
      <c r="N53" s="81"/>
      <c r="O53" s="82"/>
      <c r="P53" s="82"/>
      <c r="Q53" s="82"/>
    </row>
    <row r="54" spans="2:17" s="83" customFormat="1" hidden="1" x14ac:dyDescent="0.25">
      <c r="B54" s="108" t="s">
        <v>3</v>
      </c>
      <c r="C54" s="109" t="s">
        <v>31</v>
      </c>
      <c r="D54" s="81"/>
      <c r="E54" s="337"/>
      <c r="F54" s="81"/>
      <c r="G54" s="81"/>
      <c r="J54" s="82"/>
      <c r="K54" s="81"/>
      <c r="L54" s="81"/>
      <c r="M54" s="81"/>
      <c r="N54" s="81"/>
      <c r="O54" s="82"/>
      <c r="P54" s="82"/>
      <c r="Q54" s="82"/>
    </row>
    <row r="55" spans="2:17" s="83" customFormat="1" hidden="1" x14ac:dyDescent="0.25">
      <c r="B55" s="39" t="s">
        <v>4</v>
      </c>
      <c r="C55" s="40" t="s">
        <v>32</v>
      </c>
      <c r="E55" s="338"/>
      <c r="F55" s="81"/>
      <c r="J55" s="82"/>
      <c r="K55" s="81"/>
      <c r="L55" s="81"/>
      <c r="M55" s="81"/>
      <c r="N55" s="81"/>
      <c r="O55" s="82"/>
      <c r="P55" s="82"/>
      <c r="Q55" s="82"/>
    </row>
    <row r="56" spans="2:17" s="83" customFormat="1" hidden="1" x14ac:dyDescent="0.25">
      <c r="B56" s="39" t="s">
        <v>182</v>
      </c>
      <c r="C56" s="40" t="s">
        <v>34</v>
      </c>
      <c r="E56" s="338"/>
      <c r="J56" s="82"/>
      <c r="K56" s="81"/>
      <c r="L56" s="81"/>
      <c r="M56" s="81"/>
      <c r="N56" s="81"/>
      <c r="O56" s="82"/>
      <c r="P56" s="82"/>
      <c r="Q56" s="82"/>
    </row>
    <row r="57" spans="2:17" hidden="1" x14ac:dyDescent="0.25">
      <c r="B57" s="39" t="s">
        <v>183</v>
      </c>
      <c r="C57" s="40" t="s">
        <v>35</v>
      </c>
      <c r="D57" s="83"/>
      <c r="E57" s="338"/>
      <c r="F57" s="83"/>
      <c r="G57" s="83"/>
      <c r="J57" s="82"/>
      <c r="O57" s="82"/>
      <c r="P57" s="82"/>
      <c r="Q57" s="82"/>
    </row>
    <row r="58" spans="2:17" s="83" customFormat="1" hidden="1" x14ac:dyDescent="0.25">
      <c r="B58" s="41" t="s">
        <v>7</v>
      </c>
      <c r="C58" s="42" t="s">
        <v>71</v>
      </c>
      <c r="D58" s="81"/>
      <c r="E58" s="337"/>
      <c r="G58" s="81"/>
      <c r="H58" s="81"/>
      <c r="I58" s="81"/>
      <c r="J58" s="82"/>
      <c r="K58" s="81"/>
      <c r="L58" s="81"/>
      <c r="M58" s="81"/>
      <c r="N58" s="81"/>
      <c r="O58" s="82"/>
      <c r="P58" s="82"/>
      <c r="Q58" s="82"/>
    </row>
    <row r="59" spans="2:17" s="83" customFormat="1" hidden="1" x14ac:dyDescent="0.25">
      <c r="B59" s="41" t="s">
        <v>8</v>
      </c>
      <c r="C59" s="42" t="s">
        <v>72</v>
      </c>
      <c r="E59" s="338"/>
      <c r="F59" s="81"/>
      <c r="H59" s="81"/>
      <c r="I59" s="81"/>
      <c r="J59" s="82"/>
      <c r="K59" s="81"/>
      <c r="L59" s="81"/>
      <c r="M59" s="81"/>
      <c r="N59" s="81"/>
      <c r="O59" s="82"/>
      <c r="P59" s="82"/>
      <c r="Q59" s="82"/>
    </row>
    <row r="60" spans="2:17" s="83" customFormat="1" hidden="1" x14ac:dyDescent="0.25">
      <c r="B60" s="41" t="s">
        <v>40</v>
      </c>
      <c r="C60" s="42" t="s">
        <v>73</v>
      </c>
      <c r="E60" s="338"/>
      <c r="H60" s="81"/>
      <c r="I60" s="81"/>
      <c r="J60" s="82"/>
      <c r="K60" s="81"/>
      <c r="L60" s="81"/>
      <c r="M60" s="81"/>
      <c r="N60" s="81"/>
      <c r="O60" s="82"/>
      <c r="P60" s="82"/>
      <c r="Q60" s="82"/>
    </row>
    <row r="61" spans="2:17" s="83" customFormat="1" hidden="1" x14ac:dyDescent="0.25">
      <c r="B61" s="41" t="s">
        <v>9</v>
      </c>
      <c r="C61" s="42" t="s">
        <v>36</v>
      </c>
      <c r="E61" s="338"/>
      <c r="H61" s="81"/>
      <c r="I61" s="81"/>
      <c r="J61" s="82"/>
      <c r="K61" s="81"/>
      <c r="L61" s="81"/>
      <c r="M61" s="81"/>
      <c r="N61" s="81"/>
      <c r="O61" s="82"/>
      <c r="P61" s="82"/>
      <c r="Q61" s="82"/>
    </row>
    <row r="62" spans="2:17" s="83" customFormat="1" hidden="1" x14ac:dyDescent="0.25">
      <c r="B62" s="41" t="s">
        <v>11</v>
      </c>
      <c r="C62" s="42" t="s">
        <v>37</v>
      </c>
      <c r="E62" s="338"/>
      <c r="H62" s="81"/>
      <c r="I62" s="81"/>
      <c r="J62" s="82"/>
      <c r="K62" s="81"/>
      <c r="L62" s="81"/>
      <c r="M62" s="81"/>
      <c r="N62" s="81"/>
      <c r="O62" s="82"/>
      <c r="P62" s="82"/>
      <c r="Q62" s="82"/>
    </row>
    <row r="63" spans="2:17" s="83" customFormat="1" hidden="1" x14ac:dyDescent="0.25">
      <c r="B63" s="41" t="s">
        <v>12</v>
      </c>
      <c r="C63" s="42" t="s">
        <v>38</v>
      </c>
      <c r="E63" s="338"/>
      <c r="H63" s="81"/>
      <c r="I63" s="81"/>
      <c r="J63" s="82"/>
      <c r="K63" s="81"/>
      <c r="L63" s="81"/>
      <c r="M63" s="81"/>
      <c r="N63" s="81"/>
      <c r="O63" s="81"/>
      <c r="P63" s="82"/>
      <c r="Q63" s="82"/>
    </row>
    <row r="64" spans="2:17" s="83" customFormat="1" hidden="1" x14ac:dyDescent="0.25">
      <c r="B64" s="43" t="s">
        <v>39</v>
      </c>
      <c r="C64" s="31" t="s">
        <v>41</v>
      </c>
      <c r="E64" s="338"/>
      <c r="H64" s="81"/>
      <c r="I64" s="81"/>
      <c r="J64" s="82"/>
      <c r="K64" s="81"/>
      <c r="L64" s="81"/>
      <c r="M64" s="81"/>
      <c r="N64" s="81"/>
      <c r="O64" s="81"/>
      <c r="P64" s="82"/>
      <c r="Q64" s="82"/>
    </row>
    <row r="65" spans="2:17" s="83" customFormat="1" x14ac:dyDescent="0.25">
      <c r="B65" s="10"/>
      <c r="C65" s="3"/>
      <c r="E65" s="338"/>
      <c r="H65" s="81"/>
      <c r="I65" s="81"/>
      <c r="J65" s="82"/>
      <c r="K65" s="81"/>
      <c r="L65" s="81"/>
      <c r="M65" s="81"/>
      <c r="N65" s="81"/>
      <c r="O65" s="81"/>
      <c r="P65" s="82"/>
      <c r="Q65" s="82"/>
    </row>
    <row r="66" spans="2:17" s="83" customFormat="1" x14ac:dyDescent="0.25">
      <c r="B66" s="10"/>
      <c r="E66" s="338"/>
      <c r="H66" s="81"/>
      <c r="I66" s="81"/>
      <c r="J66" s="82"/>
      <c r="K66" s="81"/>
      <c r="L66" s="81"/>
      <c r="M66" s="81"/>
      <c r="N66" s="81"/>
      <c r="O66" s="81"/>
      <c r="P66" s="82"/>
      <c r="Q66" s="82"/>
    </row>
    <row r="67" spans="2:17" x14ac:dyDescent="0.25">
      <c r="C67" s="253"/>
      <c r="D67" s="253"/>
      <c r="E67" s="338"/>
      <c r="F67" s="83"/>
      <c r="G67" s="83"/>
      <c r="J67" s="82"/>
    </row>
    <row r="68" spans="2:17" x14ac:dyDescent="0.25">
      <c r="C68" s="253"/>
      <c r="D68" s="253"/>
      <c r="F68" s="83"/>
      <c r="J68" s="82"/>
    </row>
  </sheetData>
  <sheetProtection selectLockedCells="1"/>
  <dataConsolidate/>
  <mergeCells count="14">
    <mergeCell ref="K7:L7"/>
    <mergeCell ref="F13:F15"/>
    <mergeCell ref="B1:E1"/>
    <mergeCell ref="B2:E2"/>
    <mergeCell ref="B3:E3"/>
    <mergeCell ref="B5:E5"/>
    <mergeCell ref="E13:E15"/>
    <mergeCell ref="B50:E50"/>
    <mergeCell ref="B51:E51"/>
    <mergeCell ref="E19:E20"/>
    <mergeCell ref="B19:B20"/>
    <mergeCell ref="B47:E47"/>
    <mergeCell ref="B48:E48"/>
    <mergeCell ref="B49:E49"/>
  </mergeCells>
  <dataValidations disablePrompts="1" count="3">
    <dataValidation allowBlank="1" showErrorMessage="1" sqref="C8"/>
    <dataValidation type="list" allowBlank="1" showErrorMessage="1" errorTitle="Sector no válido" error="Seleccione un sector de la lista desplegable." sqref="C6">
      <formula1>$B$54:$B$64</formula1>
    </dataValidation>
    <dataValidation type="list" allowBlank="1" showErrorMessage="1" errorTitle="Corriente de residuos no válida" error="Seleccione una corriente de residuos de la lista desplegable." sqref="C7">
      <formula1>INDIRECT($D$53)</formula1>
    </dataValidation>
  </dataValidations>
  <hyperlinks>
    <hyperlink ref="B42" r:id="rId1"/>
    <hyperlink ref="B44" r:id="rId2"/>
    <hyperlink ref="B43" r:id="rId3" display="http://www.mgap.gub.uy/unidad-organizativa/direccion-general-de-servicios-agricolas/normativa/23-10-2018/resolucion-de-dgsa"/>
  </hyperlinks>
  <pageMargins left="0.7" right="0.7" top="0.75" bottom="0.7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JN29"/>
  <sheetViews>
    <sheetView zoomScale="60" zoomScaleNormal="60" workbookViewId="0">
      <pane xSplit="2" ySplit="3" topLeftCell="AH4" activePane="bottomRight" state="frozen"/>
      <selection pane="topRight" activeCell="C1" sqref="C1"/>
      <selection pane="bottomLeft" activeCell="A3" sqref="A3"/>
      <selection pane="bottomRight" activeCell="AJ5" sqref="AJ5"/>
    </sheetView>
  </sheetViews>
  <sheetFormatPr baseColWidth="10" defaultRowHeight="15" x14ac:dyDescent="0.25"/>
  <cols>
    <col min="1" max="1" width="35.42578125" style="27" bestFit="1" customWidth="1"/>
    <col min="2" max="2" width="21.28515625" style="27" bestFit="1" customWidth="1"/>
    <col min="3" max="3" width="57.85546875" style="27" customWidth="1"/>
    <col min="4" max="32" width="50.7109375" style="27" customWidth="1"/>
    <col min="33" max="33" width="50.7109375" style="69" customWidth="1"/>
    <col min="34" max="38" width="50.7109375" style="27" customWidth="1"/>
    <col min="39" max="42" width="31.5703125" style="27" customWidth="1"/>
    <col min="43" max="16384" width="11.42578125" style="27"/>
  </cols>
  <sheetData>
    <row r="1" spans="1:274" s="72" customFormat="1" ht="21" x14ac:dyDescent="0.35">
      <c r="A1" s="226"/>
      <c r="B1" s="226"/>
      <c r="D1" s="37" t="s">
        <v>97</v>
      </c>
      <c r="E1" s="37"/>
      <c r="F1" s="38"/>
      <c r="G1" s="73" t="s">
        <v>121</v>
      </c>
      <c r="H1" s="74" t="s">
        <v>122</v>
      </c>
      <c r="I1" s="74"/>
      <c r="J1" s="74"/>
      <c r="K1" s="74"/>
      <c r="L1" s="74"/>
      <c r="M1" s="74"/>
      <c r="N1" s="74"/>
      <c r="O1" s="74"/>
      <c r="P1" s="74"/>
      <c r="Q1" s="74"/>
      <c r="R1" s="75" t="s">
        <v>123</v>
      </c>
      <c r="S1" s="75"/>
      <c r="T1" s="75"/>
      <c r="U1" s="179"/>
      <c r="V1" s="179"/>
      <c r="W1" s="179"/>
      <c r="X1" s="76" t="s">
        <v>74</v>
      </c>
      <c r="Y1" s="76"/>
      <c r="Z1" s="77"/>
      <c r="AA1" s="77"/>
      <c r="AB1" s="180"/>
      <c r="AC1" s="180"/>
      <c r="AD1" s="245" t="s">
        <v>90</v>
      </c>
      <c r="AE1" s="246"/>
      <c r="AF1" s="246"/>
      <c r="AG1" s="246"/>
      <c r="AH1" s="246"/>
      <c r="AI1" s="246"/>
      <c r="AJ1" s="246"/>
      <c r="AK1" s="247"/>
      <c r="AL1" s="247"/>
      <c r="AM1" s="27"/>
      <c r="AN1" s="27"/>
      <c r="AO1" s="27"/>
      <c r="AP1" s="27"/>
    </row>
    <row r="2" spans="1:274" s="72" customFormat="1" ht="21" x14ac:dyDescent="0.35">
      <c r="A2" s="226"/>
      <c r="B2" s="226"/>
      <c r="C2" s="72">
        <v>1</v>
      </c>
      <c r="D2" s="37">
        <v>2</v>
      </c>
      <c r="E2" s="72">
        <v>3</v>
      </c>
      <c r="F2" s="37">
        <v>4</v>
      </c>
      <c r="G2" s="72">
        <v>5</v>
      </c>
      <c r="H2" s="37">
        <v>6</v>
      </c>
      <c r="I2" s="72">
        <v>7</v>
      </c>
      <c r="J2" s="37">
        <v>8</v>
      </c>
      <c r="K2" s="72">
        <v>9</v>
      </c>
      <c r="L2" s="37">
        <v>10</v>
      </c>
      <c r="M2" s="72">
        <v>11</v>
      </c>
      <c r="N2" s="37">
        <v>12</v>
      </c>
      <c r="O2" s="72">
        <v>13</v>
      </c>
      <c r="P2" s="72">
        <v>14</v>
      </c>
      <c r="R2" s="37">
        <v>16</v>
      </c>
      <c r="S2" s="72">
        <v>17</v>
      </c>
      <c r="T2" s="37">
        <v>18</v>
      </c>
      <c r="U2" s="72">
        <v>19</v>
      </c>
      <c r="V2" s="72">
        <v>20</v>
      </c>
      <c r="X2" s="37">
        <v>22</v>
      </c>
      <c r="Y2" s="72">
        <v>23</v>
      </c>
      <c r="Z2" s="37">
        <v>24</v>
      </c>
      <c r="AA2" s="72">
        <v>25</v>
      </c>
      <c r="AB2" s="37">
        <v>26</v>
      </c>
      <c r="AC2" s="37">
        <v>27</v>
      </c>
      <c r="AD2" s="37">
        <v>28</v>
      </c>
      <c r="AE2" s="72">
        <v>29</v>
      </c>
      <c r="AF2" s="37">
        <v>30</v>
      </c>
      <c r="AG2" s="72">
        <v>31</v>
      </c>
      <c r="AH2" s="37">
        <v>32</v>
      </c>
      <c r="AI2" s="37">
        <v>33</v>
      </c>
      <c r="AJ2" s="37">
        <v>34</v>
      </c>
      <c r="AK2" s="37">
        <v>35</v>
      </c>
      <c r="AL2" s="37">
        <v>36</v>
      </c>
      <c r="AM2" s="27"/>
      <c r="AN2" s="27"/>
      <c r="AO2" s="27"/>
      <c r="AP2" s="27"/>
    </row>
    <row r="3" spans="1:274" s="16" customFormat="1" ht="45" x14ac:dyDescent="0.25">
      <c r="A3" s="221" t="s">
        <v>0</v>
      </c>
      <c r="B3" s="222" t="s">
        <v>13</v>
      </c>
      <c r="C3" s="223" t="s">
        <v>52</v>
      </c>
      <c r="D3" s="224" t="s">
        <v>186</v>
      </c>
      <c r="E3" s="224" t="s">
        <v>185</v>
      </c>
      <c r="F3" s="224" t="s">
        <v>187</v>
      </c>
      <c r="G3" s="224" t="s">
        <v>109</v>
      </c>
      <c r="H3" s="224" t="s">
        <v>110</v>
      </c>
      <c r="I3" s="224" t="s">
        <v>111</v>
      </c>
      <c r="J3" s="224" t="s">
        <v>153</v>
      </c>
      <c r="K3" s="224" t="s">
        <v>154</v>
      </c>
      <c r="L3" s="224" t="s">
        <v>112</v>
      </c>
      <c r="M3" s="224" t="s">
        <v>113</v>
      </c>
      <c r="N3" s="224" t="s">
        <v>114</v>
      </c>
      <c r="O3" s="224" t="s">
        <v>115</v>
      </c>
      <c r="P3" s="224" t="s">
        <v>354</v>
      </c>
      <c r="Q3" s="224"/>
      <c r="R3" s="224" t="s">
        <v>119</v>
      </c>
      <c r="S3" s="224" t="s">
        <v>120</v>
      </c>
      <c r="T3" s="224" t="s">
        <v>158</v>
      </c>
      <c r="U3" s="224" t="s">
        <v>161</v>
      </c>
      <c r="V3" s="224" t="s">
        <v>325</v>
      </c>
      <c r="W3" s="224"/>
      <c r="X3" s="224" t="s">
        <v>124</v>
      </c>
      <c r="Y3" s="224" t="s">
        <v>125</v>
      </c>
      <c r="Z3" s="224" t="s">
        <v>130</v>
      </c>
      <c r="AA3" s="224" t="s">
        <v>160</v>
      </c>
      <c r="AB3" s="225" t="s">
        <v>159</v>
      </c>
      <c r="AC3" s="225" t="s">
        <v>337</v>
      </c>
      <c r="AD3" s="225" t="s">
        <v>189</v>
      </c>
      <c r="AE3" s="225" t="s">
        <v>216</v>
      </c>
      <c r="AF3" s="225" t="s">
        <v>191</v>
      </c>
      <c r="AG3" s="225" t="s">
        <v>192</v>
      </c>
      <c r="AH3" s="225" t="s">
        <v>193</v>
      </c>
      <c r="AI3" s="225" t="s">
        <v>194</v>
      </c>
      <c r="AJ3" s="225" t="s">
        <v>195</v>
      </c>
      <c r="AK3" s="225" t="s">
        <v>353</v>
      </c>
      <c r="AL3" s="447" t="s">
        <v>387</v>
      </c>
      <c r="AM3" s="78"/>
      <c r="AN3" s="78"/>
      <c r="AO3" s="78"/>
      <c r="AP3" s="78"/>
    </row>
    <row r="4" spans="1:274" s="19" customFormat="1" ht="93.75" customHeight="1" x14ac:dyDescent="0.35">
      <c r="A4" s="227" t="s">
        <v>3</v>
      </c>
      <c r="B4" s="228" t="s">
        <v>14</v>
      </c>
      <c r="C4" s="181" t="str">
        <f>A4&amp;B4</f>
        <v>Engorde a corralEstiércol</v>
      </c>
      <c r="D4" s="182" t="s">
        <v>383</v>
      </c>
      <c r="E4" s="421" t="s">
        <v>380</v>
      </c>
      <c r="F4" s="182" t="s">
        <v>381</v>
      </c>
      <c r="G4" s="182" t="s">
        <v>370</v>
      </c>
      <c r="H4" s="182" t="s">
        <v>375</v>
      </c>
      <c r="I4" s="182" t="s">
        <v>371</v>
      </c>
      <c r="J4" s="182" t="s">
        <v>280</v>
      </c>
      <c r="K4" s="182" t="s">
        <v>378</v>
      </c>
      <c r="L4" s="182" t="s">
        <v>372</v>
      </c>
      <c r="M4" s="182" t="s">
        <v>373</v>
      </c>
      <c r="N4" s="182" t="s">
        <v>281</v>
      </c>
      <c r="O4" s="182" t="s">
        <v>373</v>
      </c>
      <c r="P4" s="182" t="s">
        <v>386</v>
      </c>
      <c r="Q4" s="182"/>
      <c r="R4" s="182" t="s">
        <v>374</v>
      </c>
      <c r="S4" s="182" t="s">
        <v>371</v>
      </c>
      <c r="T4" s="182" t="s">
        <v>227</v>
      </c>
      <c r="U4" s="182" t="s">
        <v>228</v>
      </c>
      <c r="V4" s="182" t="s">
        <v>394</v>
      </c>
      <c r="W4" s="182"/>
      <c r="X4" s="182" t="s">
        <v>379</v>
      </c>
      <c r="Y4" s="182" t="s">
        <v>376</v>
      </c>
      <c r="Z4" s="182" t="s">
        <v>242</v>
      </c>
      <c r="AA4" s="182" t="s">
        <v>282</v>
      </c>
      <c r="AB4" s="183" t="s">
        <v>283</v>
      </c>
      <c r="AC4" s="183" t="s">
        <v>338</v>
      </c>
      <c r="AD4" s="451" t="s">
        <v>396</v>
      </c>
      <c r="AE4" s="451" t="s">
        <v>404</v>
      </c>
      <c r="AF4" s="448" t="s">
        <v>405</v>
      </c>
      <c r="AG4" s="448" t="s">
        <v>399</v>
      </c>
      <c r="AH4" s="448" t="s">
        <v>398</v>
      </c>
      <c r="AI4" s="448" t="s">
        <v>400</v>
      </c>
      <c r="AJ4" s="448" t="s">
        <v>406</v>
      </c>
      <c r="AK4" s="456" t="s">
        <v>395</v>
      </c>
      <c r="AL4" s="448" t="s">
        <v>402</v>
      </c>
      <c r="AM4" s="19" t="s">
        <v>403</v>
      </c>
    </row>
    <row r="5" spans="1:274" s="19" customFormat="1" ht="75" x14ac:dyDescent="0.25">
      <c r="A5" s="229" t="s">
        <v>4</v>
      </c>
      <c r="B5" s="230" t="s">
        <v>14</v>
      </c>
      <c r="C5" s="199" t="str">
        <f>A5&amp;B5</f>
        <v>TambosEstiércol</v>
      </c>
      <c r="D5" s="200" t="s">
        <v>241</v>
      </c>
      <c r="E5" s="201" t="s">
        <v>358</v>
      </c>
      <c r="F5" s="200" t="s">
        <v>256</v>
      </c>
      <c r="G5" s="200" t="s">
        <v>370</v>
      </c>
      <c r="H5" s="200" t="s">
        <v>375</v>
      </c>
      <c r="I5" s="200" t="s">
        <v>371</v>
      </c>
      <c r="J5" s="200" t="s">
        <v>280</v>
      </c>
      <c r="K5" s="200" t="s">
        <v>378</v>
      </c>
      <c r="L5" s="200" t="s">
        <v>372</v>
      </c>
      <c r="M5" s="200" t="s">
        <v>373</v>
      </c>
      <c r="N5" s="200" t="s">
        <v>281</v>
      </c>
      <c r="O5" s="201" t="s">
        <v>373</v>
      </c>
      <c r="P5" s="201" t="s">
        <v>386</v>
      </c>
      <c r="Q5" s="201"/>
      <c r="R5" s="200" t="s">
        <v>374</v>
      </c>
      <c r="S5" s="200" t="s">
        <v>371</v>
      </c>
      <c r="T5" s="200" t="s">
        <v>227</v>
      </c>
      <c r="U5" s="200" t="s">
        <v>228</v>
      </c>
      <c r="V5" s="200" t="s">
        <v>394</v>
      </c>
      <c r="W5" s="200"/>
      <c r="X5" s="200"/>
      <c r="Y5" s="200"/>
      <c r="Z5" s="200"/>
      <c r="AA5" s="200"/>
      <c r="AB5" s="201"/>
      <c r="AC5" s="449"/>
      <c r="AD5" s="453" t="s">
        <v>396</v>
      </c>
      <c r="AE5" s="452" t="str">
        <f>+AE4</f>
        <v>Considerando acopio de residuos para 10 días de generación, playa para compostaje de 10 semanas, laguna preexistente.</v>
      </c>
      <c r="AF5" s="452" t="str">
        <f t="shared" ref="AF5:AL6" si="0">+AF4</f>
        <v xml:space="preserve">Proceso a cielo abierto, 2 pilas triangulares (50x2x1,2m)/calle, con tractor y volteadora de tiro. </v>
      </c>
      <c r="AG5" s="452" t="str">
        <f t="shared" si="0"/>
        <v>Mano de obra, combustible para tractor, mantenimiento maquinaria, fardos/Urea para mezclar con residuos.</v>
      </c>
      <c r="AH5" s="452" t="str">
        <f t="shared" si="0"/>
        <v>Acondicionamiento del sitio de acopio de residuos y playa de compostaje, compra de volteadora.</v>
      </c>
      <c r="AI5" s="452" t="str">
        <f t="shared" si="0"/>
        <v>Incrementan 3% su materia orgánica post aplicación del compost producido.</v>
      </c>
      <c r="AJ5" s="452" t="str">
        <f t="shared" si="0"/>
        <v>El N-P-K del compost producido aplicado al suelo sustituye al que era aportado por fertilizantes inorgánicos.</v>
      </c>
      <c r="AK5" s="457" t="str">
        <f>+AK4</f>
        <v>Se asumen las emisones directas de CH4 y N2O en el proceso de compostaje, las emisiones indirectas por volatilización y lixiviación en el compostaje y en la aplicación de compost, y las emisiones evitadas por sustitución de fertilizantes.</v>
      </c>
      <c r="AL5" s="452" t="str">
        <f t="shared" si="0"/>
        <v>Compost: 1,4 % de N; 1,2 % de P2O5; 0,35 % de K2O.</v>
      </c>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c r="IR5" s="110"/>
      <c r="IS5" s="110"/>
      <c r="IT5" s="110"/>
      <c r="IU5" s="110"/>
      <c r="IV5" s="110"/>
      <c r="IW5" s="110"/>
      <c r="IX5" s="110"/>
      <c r="IY5" s="110"/>
      <c r="IZ5" s="110"/>
      <c r="JA5" s="110"/>
      <c r="JB5" s="110"/>
      <c r="JC5" s="110"/>
      <c r="JD5" s="110"/>
      <c r="JE5" s="110"/>
      <c r="JF5" s="110"/>
      <c r="JG5" s="110"/>
      <c r="JH5" s="110"/>
      <c r="JI5" s="110"/>
      <c r="JJ5" s="110"/>
      <c r="JK5" s="110"/>
      <c r="JL5" s="110"/>
      <c r="JM5" s="110"/>
      <c r="JN5" s="110"/>
    </row>
    <row r="6" spans="1:274" s="19" customFormat="1" ht="75" x14ac:dyDescent="0.25">
      <c r="A6" s="231" t="s">
        <v>4</v>
      </c>
      <c r="B6" s="232" t="s">
        <v>135</v>
      </c>
      <c r="C6" s="202" t="str">
        <f>A6&amp;B6</f>
        <v>TambosEstiércol prensado</v>
      </c>
      <c r="D6" s="203" t="s">
        <v>241</v>
      </c>
      <c r="E6" s="204" t="s">
        <v>359</v>
      </c>
      <c r="F6" s="203" t="s">
        <v>284</v>
      </c>
      <c r="G6" s="203"/>
      <c r="H6" s="203"/>
      <c r="I6" s="203"/>
      <c r="J6" s="203"/>
      <c r="K6" s="203"/>
      <c r="L6" s="203"/>
      <c r="M6" s="203"/>
      <c r="N6" s="203"/>
      <c r="O6" s="203"/>
      <c r="P6" s="203"/>
      <c r="Q6" s="203"/>
      <c r="R6" s="203"/>
      <c r="S6" s="203"/>
      <c r="T6" s="203"/>
      <c r="U6" s="203"/>
      <c r="V6" s="203"/>
      <c r="W6" s="203"/>
      <c r="X6" s="203" t="s">
        <v>379</v>
      </c>
      <c r="Y6" s="203" t="s">
        <v>376</v>
      </c>
      <c r="Z6" s="203" t="s">
        <v>242</v>
      </c>
      <c r="AA6" s="203" t="s">
        <v>214</v>
      </c>
      <c r="AB6" s="204" t="s">
        <v>283</v>
      </c>
      <c r="AC6" s="450" t="s">
        <v>338</v>
      </c>
      <c r="AD6" s="454" t="s">
        <v>396</v>
      </c>
      <c r="AE6" s="452" t="str">
        <f>+AE5</f>
        <v>Considerando acopio de residuos para 10 días de generación, playa para compostaje de 10 semanas, laguna preexistente.</v>
      </c>
      <c r="AF6" s="452" t="str">
        <f t="shared" si="0"/>
        <v xml:space="preserve">Proceso a cielo abierto, 2 pilas triangulares (50x2x1,2m)/calle, con tractor y volteadora de tiro. </v>
      </c>
      <c r="AG6" s="452" t="str">
        <f t="shared" si="0"/>
        <v>Mano de obra, combustible para tractor, mantenimiento maquinaria, fardos/Urea para mezclar con residuos.</v>
      </c>
      <c r="AH6" s="452" t="str">
        <f t="shared" si="0"/>
        <v>Acondicionamiento del sitio de acopio de residuos y playa de compostaje, compra de volteadora.</v>
      </c>
      <c r="AI6" s="452" t="str">
        <f t="shared" si="0"/>
        <v>Incrementan 3% su materia orgánica post aplicación del compost producido.</v>
      </c>
      <c r="AJ6" s="452" t="str">
        <f t="shared" si="0"/>
        <v>El N-P-K del compost producido aplicado al suelo sustituye al que era aportado por fertilizantes inorgánicos.</v>
      </c>
      <c r="AK6" s="457" t="str">
        <f>+AK4</f>
        <v>Se asumen las emisones directas de CH4 y N2O en el proceso de compostaje, las emisiones indirectas por volatilización y lixiviación en el compostaje y en la aplicación de compost, y las emisiones evitadas por sustitución de fertilizantes.</v>
      </c>
      <c r="AL6" s="452" t="str">
        <f t="shared" si="0"/>
        <v>Compost: 1,4 % de N; 1,2 % de P2O5; 0,35 % de K2O.</v>
      </c>
    </row>
    <row r="7" spans="1:274" s="19" customFormat="1" ht="75" x14ac:dyDescent="0.25">
      <c r="A7" s="284" t="s">
        <v>6</v>
      </c>
      <c r="B7" s="233" t="s">
        <v>15</v>
      </c>
      <c r="C7" s="205" t="str">
        <f t="shared" ref="C7:C29" si="1">A7&amp;B7</f>
        <v>Industria LácteaLodos PTE</v>
      </c>
      <c r="D7" s="206" t="s">
        <v>243</v>
      </c>
      <c r="E7" s="206" t="s">
        <v>248</v>
      </c>
      <c r="F7" s="206" t="s">
        <v>257</v>
      </c>
      <c r="G7" s="206" t="s">
        <v>370</v>
      </c>
      <c r="H7" s="206" t="s">
        <v>384</v>
      </c>
      <c r="I7" s="206" t="s">
        <v>371</v>
      </c>
      <c r="J7" s="206" t="s">
        <v>280</v>
      </c>
      <c r="K7" s="206" t="s">
        <v>378</v>
      </c>
      <c r="L7" s="206" t="s">
        <v>372</v>
      </c>
      <c r="M7" s="206" t="s">
        <v>373</v>
      </c>
      <c r="N7" s="206" t="s">
        <v>281</v>
      </c>
      <c r="O7" s="207" t="s">
        <v>373</v>
      </c>
      <c r="P7" s="207" t="s">
        <v>386</v>
      </c>
      <c r="Q7" s="207"/>
      <c r="R7" s="206" t="s">
        <v>374</v>
      </c>
      <c r="S7" s="206" t="s">
        <v>371</v>
      </c>
      <c r="T7" s="206" t="s">
        <v>227</v>
      </c>
      <c r="U7" s="206" t="s">
        <v>228</v>
      </c>
      <c r="V7" s="206" t="s">
        <v>394</v>
      </c>
      <c r="W7" s="206"/>
      <c r="X7" s="206"/>
      <c r="Y7" s="206"/>
      <c r="Z7" s="206"/>
      <c r="AA7" s="206"/>
      <c r="AB7" s="207"/>
      <c r="AC7" s="207"/>
      <c r="AD7" s="274"/>
      <c r="AE7" s="274"/>
      <c r="AF7" s="274"/>
      <c r="AG7" s="274"/>
      <c r="AH7" s="274"/>
      <c r="AI7" s="274"/>
      <c r="AJ7" s="274"/>
      <c r="AK7" s="458"/>
      <c r="AL7" s="274"/>
    </row>
    <row r="8" spans="1:274" s="19" customFormat="1" ht="98.25" customHeight="1" x14ac:dyDescent="0.25">
      <c r="A8" s="285" t="s">
        <v>6</v>
      </c>
      <c r="B8" s="234" t="s">
        <v>16</v>
      </c>
      <c r="C8" s="208" t="str">
        <f t="shared" si="1"/>
        <v xml:space="preserve">Industria LácteaBarros grasos </v>
      </c>
      <c r="D8" s="209" t="s">
        <v>385</v>
      </c>
      <c r="E8" s="209" t="s">
        <v>249</v>
      </c>
      <c r="F8" s="209" t="s">
        <v>258</v>
      </c>
      <c r="G8" s="209" t="s">
        <v>377</v>
      </c>
      <c r="H8" s="209" t="s">
        <v>384</v>
      </c>
      <c r="I8" s="209" t="s">
        <v>371</v>
      </c>
      <c r="J8" s="209" t="s">
        <v>280</v>
      </c>
      <c r="K8" s="209" t="s">
        <v>378</v>
      </c>
      <c r="L8" s="209" t="s">
        <v>372</v>
      </c>
      <c r="M8" s="210" t="s">
        <v>373</v>
      </c>
      <c r="N8" s="210" t="s">
        <v>281</v>
      </c>
      <c r="O8" s="209" t="s">
        <v>373</v>
      </c>
      <c r="P8" s="209" t="s">
        <v>386</v>
      </c>
      <c r="Q8" s="209"/>
      <c r="R8" s="209" t="s">
        <v>374</v>
      </c>
      <c r="S8" s="209" t="s">
        <v>371</v>
      </c>
      <c r="T8" s="209" t="s">
        <v>227</v>
      </c>
      <c r="U8" s="209" t="s">
        <v>228</v>
      </c>
      <c r="V8" s="209" t="s">
        <v>394</v>
      </c>
      <c r="W8" s="209"/>
      <c r="X8" s="209"/>
      <c r="Y8" s="209"/>
      <c r="Z8" s="209"/>
      <c r="AA8" s="209"/>
      <c r="AB8" s="210"/>
      <c r="AC8" s="210"/>
      <c r="AD8" s="210"/>
      <c r="AE8" s="210"/>
      <c r="AF8" s="210"/>
      <c r="AG8" s="210"/>
      <c r="AH8" s="210"/>
      <c r="AI8" s="210"/>
      <c r="AJ8" s="210"/>
      <c r="AK8" s="459"/>
      <c r="AL8" s="210"/>
    </row>
    <row r="9" spans="1:274" s="19" customFormat="1" ht="105" x14ac:dyDescent="0.25">
      <c r="A9" s="286" t="s">
        <v>6</v>
      </c>
      <c r="B9" s="235" t="s">
        <v>17</v>
      </c>
      <c r="C9" s="211" t="str">
        <f t="shared" si="1"/>
        <v>Industria LácteaSuero</v>
      </c>
      <c r="D9" s="212" t="s">
        <v>243</v>
      </c>
      <c r="E9" s="212" t="s">
        <v>250</v>
      </c>
      <c r="F9" s="213"/>
      <c r="G9" s="212" t="s">
        <v>377</v>
      </c>
      <c r="H9" s="212" t="s">
        <v>375</v>
      </c>
      <c r="I9" s="212" t="s">
        <v>371</v>
      </c>
      <c r="J9" s="212" t="s">
        <v>280</v>
      </c>
      <c r="K9" s="212" t="s">
        <v>378</v>
      </c>
      <c r="L9" s="212" t="s">
        <v>372</v>
      </c>
      <c r="M9" s="212" t="s">
        <v>373</v>
      </c>
      <c r="N9" s="212" t="s">
        <v>281</v>
      </c>
      <c r="O9" s="212" t="s">
        <v>373</v>
      </c>
      <c r="P9" s="212" t="s">
        <v>386</v>
      </c>
      <c r="Q9" s="212"/>
      <c r="R9" s="212" t="s">
        <v>374</v>
      </c>
      <c r="S9" s="212" t="s">
        <v>371</v>
      </c>
      <c r="T9" s="212" t="s">
        <v>227</v>
      </c>
      <c r="U9" s="212" t="s">
        <v>228</v>
      </c>
      <c r="V9" s="212" t="s">
        <v>394</v>
      </c>
      <c r="W9" s="212"/>
      <c r="X9" s="212"/>
      <c r="Y9" s="212"/>
      <c r="Z9" s="212"/>
      <c r="AA9" s="212"/>
      <c r="AB9" s="213"/>
      <c r="AC9" s="213"/>
      <c r="AD9" s="213"/>
      <c r="AE9" s="213"/>
      <c r="AF9" s="213"/>
      <c r="AG9" s="213"/>
      <c r="AH9" s="213"/>
      <c r="AI9" s="213"/>
      <c r="AJ9" s="213"/>
      <c r="AK9" s="460"/>
      <c r="AL9" s="213"/>
    </row>
    <row r="10" spans="1:274" s="19" customFormat="1" ht="45" x14ac:dyDescent="0.25">
      <c r="A10" s="482" t="s">
        <v>182</v>
      </c>
      <c r="B10" s="230" t="s">
        <v>18</v>
      </c>
      <c r="C10" s="214" t="str">
        <f t="shared" si="1"/>
        <v>Criaderos de porcinos (engorde)Residuos de alimentos</v>
      </c>
      <c r="D10" s="201" t="s">
        <v>244</v>
      </c>
      <c r="E10" s="201" t="s">
        <v>251</v>
      </c>
      <c r="F10" s="200"/>
      <c r="G10" s="200"/>
      <c r="H10" s="200"/>
      <c r="I10" s="200"/>
      <c r="J10" s="200"/>
      <c r="K10" s="200"/>
      <c r="L10" s="200"/>
      <c r="M10" s="201"/>
      <c r="N10" s="201"/>
      <c r="O10" s="201"/>
      <c r="P10" s="201"/>
      <c r="Q10" s="201"/>
      <c r="R10" s="200"/>
      <c r="S10" s="200"/>
      <c r="T10" s="200"/>
      <c r="U10" s="200"/>
      <c r="V10" s="200"/>
      <c r="W10" s="200"/>
      <c r="X10" s="200"/>
      <c r="Y10" s="200"/>
      <c r="Z10" s="200"/>
      <c r="AA10" s="200"/>
      <c r="AB10" s="201"/>
      <c r="AC10" s="201"/>
      <c r="AD10" s="201"/>
      <c r="AE10" s="201"/>
      <c r="AF10" s="201"/>
      <c r="AG10" s="201"/>
      <c r="AH10" s="201"/>
      <c r="AI10" s="201"/>
      <c r="AJ10" s="201"/>
      <c r="AK10" s="461"/>
      <c r="AL10" s="201"/>
    </row>
    <row r="11" spans="1:274" s="19" customFormat="1" ht="75" x14ac:dyDescent="0.25">
      <c r="A11" s="483"/>
      <c r="B11" s="232" t="s">
        <v>19</v>
      </c>
      <c r="C11" s="202" t="str">
        <f t="shared" si="1"/>
        <v>Excretas  y purines</v>
      </c>
      <c r="D11" s="203" t="s">
        <v>244</v>
      </c>
      <c r="E11" s="203" t="s">
        <v>285</v>
      </c>
      <c r="F11" s="203" t="s">
        <v>259</v>
      </c>
      <c r="G11" s="203" t="s">
        <v>370</v>
      </c>
      <c r="H11" s="203" t="s">
        <v>384</v>
      </c>
      <c r="I11" s="203" t="s">
        <v>371</v>
      </c>
      <c r="J11" s="203" t="s">
        <v>280</v>
      </c>
      <c r="K11" s="203" t="s">
        <v>378</v>
      </c>
      <c r="L11" s="203" t="s">
        <v>372</v>
      </c>
      <c r="M11" s="203" t="s">
        <v>373</v>
      </c>
      <c r="N11" s="203" t="s">
        <v>281</v>
      </c>
      <c r="O11" s="203" t="s">
        <v>373</v>
      </c>
      <c r="P11" s="203" t="s">
        <v>386</v>
      </c>
      <c r="Q11" s="203"/>
      <c r="R11" s="203" t="s">
        <v>374</v>
      </c>
      <c r="S11" s="203" t="s">
        <v>371</v>
      </c>
      <c r="T11" s="203" t="s">
        <v>227</v>
      </c>
      <c r="U11" s="203" t="s">
        <v>228</v>
      </c>
      <c r="V11" s="203" t="s">
        <v>394</v>
      </c>
      <c r="W11" s="203"/>
      <c r="X11" s="203"/>
      <c r="Y11" s="203"/>
      <c r="Z11" s="203"/>
      <c r="AA11" s="203"/>
      <c r="AB11" s="204"/>
      <c r="AC11" s="204"/>
      <c r="AD11" s="454" t="s">
        <v>396</v>
      </c>
      <c r="AE11" s="452" t="str">
        <f>+AE4</f>
        <v>Considerando acopio de residuos para 10 días de generación, playa para compostaje de 10 semanas, laguna preexistente.</v>
      </c>
      <c r="AF11" s="452" t="str">
        <f t="shared" ref="AF11:AL11" si="2">+AF4</f>
        <v xml:space="preserve">Proceso a cielo abierto, 2 pilas triangulares (50x2x1,2m)/calle, con tractor y volteadora de tiro. </v>
      </c>
      <c r="AG11" s="452" t="str">
        <f t="shared" si="2"/>
        <v>Mano de obra, combustible para tractor, mantenimiento maquinaria, fardos/Urea para mezclar con residuos.</v>
      </c>
      <c r="AH11" s="452" t="str">
        <f t="shared" si="2"/>
        <v>Acondicionamiento del sitio de acopio de residuos y playa de compostaje, compra de volteadora.</v>
      </c>
      <c r="AI11" s="452" t="str">
        <f t="shared" si="2"/>
        <v>Incrementan 3% su materia orgánica post aplicación del compost producido.</v>
      </c>
      <c r="AJ11" s="452" t="str">
        <f t="shared" si="2"/>
        <v>El N-P-K del compost producido aplicado al suelo sustituye al que era aportado por fertilizantes inorgánicos.</v>
      </c>
      <c r="AK11" s="457" t="e">
        <f>+#REF!</f>
        <v>#REF!</v>
      </c>
      <c r="AL11" s="452" t="str">
        <f t="shared" si="2"/>
        <v>Compost: 1,4 % de N; 1,2 % de P2O5; 0,35 % de K2O.</v>
      </c>
    </row>
    <row r="12" spans="1:274" s="19" customFormat="1" ht="75" x14ac:dyDescent="0.25">
      <c r="A12" s="236" t="s">
        <v>183</v>
      </c>
      <c r="B12" s="237" t="s">
        <v>19</v>
      </c>
      <c r="C12" s="185" t="str">
        <f t="shared" si="1"/>
        <v>Criaderos de porcinos (ciclo completo)Excretas  y purines</v>
      </c>
      <c r="D12" s="187" t="s">
        <v>245</v>
      </c>
      <c r="E12" s="187" t="s">
        <v>286</v>
      </c>
      <c r="F12" s="184" t="s">
        <v>259</v>
      </c>
      <c r="G12" s="187" t="s">
        <v>370</v>
      </c>
      <c r="H12" s="187" t="s">
        <v>375</v>
      </c>
      <c r="I12" s="187" t="s">
        <v>371</v>
      </c>
      <c r="J12" s="187" t="s">
        <v>280</v>
      </c>
      <c r="K12" s="187" t="s">
        <v>378</v>
      </c>
      <c r="L12" s="187" t="s">
        <v>372</v>
      </c>
      <c r="M12" s="182" t="s">
        <v>373</v>
      </c>
      <c r="N12" s="182" t="s">
        <v>281</v>
      </c>
      <c r="O12" s="182" t="s">
        <v>373</v>
      </c>
      <c r="P12" s="182" t="s">
        <v>386</v>
      </c>
      <c r="Q12" s="182"/>
      <c r="R12" s="187" t="s">
        <v>374</v>
      </c>
      <c r="S12" s="187" t="s">
        <v>371</v>
      </c>
      <c r="T12" s="187" t="s">
        <v>227</v>
      </c>
      <c r="U12" s="187" t="s">
        <v>228</v>
      </c>
      <c r="V12" s="187" t="s">
        <v>394</v>
      </c>
      <c r="W12" s="187"/>
      <c r="X12" s="187"/>
      <c r="Y12" s="187"/>
      <c r="Z12" s="187"/>
      <c r="AA12" s="187"/>
      <c r="AB12" s="186"/>
      <c r="AC12" s="186"/>
      <c r="AD12" s="451" t="s">
        <v>396</v>
      </c>
      <c r="AE12" s="448" t="str">
        <f>+AE4</f>
        <v>Considerando acopio de residuos para 10 días de generación, playa para compostaje de 10 semanas, laguna preexistente.</v>
      </c>
      <c r="AF12" s="448" t="str">
        <f t="shared" ref="AF12:AL12" si="3">+AF4</f>
        <v xml:space="preserve">Proceso a cielo abierto, 2 pilas triangulares (50x2x1,2m)/calle, con tractor y volteadora de tiro. </v>
      </c>
      <c r="AG12" s="448" t="str">
        <f t="shared" si="3"/>
        <v>Mano de obra, combustible para tractor, mantenimiento maquinaria, fardos/Urea para mezclar con residuos.</v>
      </c>
      <c r="AH12" s="448" t="str">
        <f t="shared" si="3"/>
        <v>Acondicionamiento del sitio de acopio de residuos y playa de compostaje, compra de volteadora.</v>
      </c>
      <c r="AI12" s="448" t="str">
        <f t="shared" si="3"/>
        <v>Incrementan 3% su materia orgánica post aplicación del compost producido.</v>
      </c>
      <c r="AJ12" s="448" t="str">
        <f t="shared" si="3"/>
        <v>El N-P-K del compost producido aplicado al suelo sustituye al que era aportado por fertilizantes inorgánicos.</v>
      </c>
      <c r="AK12" s="456" t="e">
        <f>+#REF!</f>
        <v>#REF!</v>
      </c>
      <c r="AL12" s="448" t="str">
        <f t="shared" si="3"/>
        <v>Compost: 1,4 % de N; 1,2 % de P2O5; 0,35 % de K2O.</v>
      </c>
    </row>
    <row r="13" spans="1:274" s="19" customFormat="1" ht="60" x14ac:dyDescent="0.25">
      <c r="A13" s="238" t="s">
        <v>7</v>
      </c>
      <c r="B13" s="239" t="s">
        <v>20</v>
      </c>
      <c r="C13" s="193" t="str">
        <f t="shared" si="1"/>
        <v>Cría de pollos parrillerosCamas</v>
      </c>
      <c r="D13" s="189" t="s">
        <v>246</v>
      </c>
      <c r="E13" s="189" t="s">
        <v>266</v>
      </c>
      <c r="F13" s="189" t="s">
        <v>260</v>
      </c>
      <c r="G13" s="189"/>
      <c r="H13" s="189"/>
      <c r="I13" s="189"/>
      <c r="J13" s="189"/>
      <c r="K13" s="189"/>
      <c r="L13" s="189"/>
      <c r="M13" s="189"/>
      <c r="N13" s="189"/>
      <c r="O13" s="189"/>
      <c r="P13" s="189"/>
      <c r="Q13" s="189"/>
      <c r="R13" s="189"/>
      <c r="S13" s="189"/>
      <c r="T13" s="189"/>
      <c r="U13" s="189"/>
      <c r="V13" s="189"/>
      <c r="W13" s="189"/>
      <c r="X13" s="194" t="s">
        <v>379</v>
      </c>
      <c r="Y13" s="196" t="s">
        <v>376</v>
      </c>
      <c r="Z13" s="196" t="s">
        <v>242</v>
      </c>
      <c r="AA13" s="196" t="s">
        <v>214</v>
      </c>
      <c r="AB13" s="194" t="s">
        <v>283</v>
      </c>
      <c r="AC13" s="194" t="s">
        <v>338</v>
      </c>
      <c r="AD13" s="454" t="s">
        <v>396</v>
      </c>
      <c r="AE13" s="452" t="str">
        <f>+AE4</f>
        <v>Considerando acopio de residuos para 10 días de generación, playa para compostaje de 10 semanas, laguna preexistente.</v>
      </c>
      <c r="AF13" s="452" t="str">
        <f t="shared" ref="AF13:AL13" si="4">+AF4</f>
        <v xml:space="preserve">Proceso a cielo abierto, 2 pilas triangulares (50x2x1,2m)/calle, con tractor y volteadora de tiro. </v>
      </c>
      <c r="AG13" s="452" t="str">
        <f t="shared" si="4"/>
        <v>Mano de obra, combustible para tractor, mantenimiento maquinaria, fardos/Urea para mezclar con residuos.</v>
      </c>
      <c r="AH13" s="452" t="str">
        <f t="shared" si="4"/>
        <v>Acondicionamiento del sitio de acopio de residuos y playa de compostaje, compra de volteadora.</v>
      </c>
      <c r="AI13" s="452" t="str">
        <f t="shared" si="4"/>
        <v>Incrementan 3% su materia orgánica post aplicación del compost producido.</v>
      </c>
      <c r="AJ13" s="452" t="str">
        <f t="shared" si="4"/>
        <v>El N-P-K del compost producido aplicado al suelo sustituye al que era aportado por fertilizantes inorgánicos.</v>
      </c>
      <c r="AK13" s="457" t="e">
        <f>+#REF!</f>
        <v>#REF!</v>
      </c>
      <c r="AL13" s="452" t="str">
        <f t="shared" si="4"/>
        <v>Compost: 1,4 % de N; 1,2 % de P2O5; 0,35 % de K2O.</v>
      </c>
    </row>
    <row r="14" spans="1:274" s="19" customFormat="1" ht="105" x14ac:dyDescent="0.25">
      <c r="A14" s="240" t="s">
        <v>8</v>
      </c>
      <c r="B14" s="241" t="s">
        <v>21</v>
      </c>
      <c r="C14" s="197" t="str">
        <f t="shared" si="1"/>
        <v>Avícolas ponedorasExcretas</v>
      </c>
      <c r="D14" s="198" t="s">
        <v>247</v>
      </c>
      <c r="E14" s="182" t="s">
        <v>252</v>
      </c>
      <c r="F14" s="184" t="s">
        <v>261</v>
      </c>
      <c r="G14" s="198" t="s">
        <v>377</v>
      </c>
      <c r="H14" s="198" t="s">
        <v>375</v>
      </c>
      <c r="I14" s="198" t="s">
        <v>371</v>
      </c>
      <c r="J14" s="198" t="s">
        <v>280</v>
      </c>
      <c r="K14" s="198" t="s">
        <v>378</v>
      </c>
      <c r="L14" s="198" t="s">
        <v>372</v>
      </c>
      <c r="M14" s="182" t="s">
        <v>373</v>
      </c>
      <c r="N14" s="182" t="s">
        <v>281</v>
      </c>
      <c r="O14" s="182" t="s">
        <v>373</v>
      </c>
      <c r="P14" s="182" t="s">
        <v>386</v>
      </c>
      <c r="Q14" s="182"/>
      <c r="R14" s="198" t="s">
        <v>374</v>
      </c>
      <c r="S14" s="198" t="s">
        <v>371</v>
      </c>
      <c r="T14" s="198" t="s">
        <v>227</v>
      </c>
      <c r="U14" s="198" t="s">
        <v>228</v>
      </c>
      <c r="V14" s="198" t="s">
        <v>394</v>
      </c>
      <c r="W14" s="198"/>
      <c r="X14" s="198"/>
      <c r="Y14" s="198"/>
      <c r="Z14" s="198"/>
      <c r="AA14" s="198"/>
      <c r="AB14" s="184"/>
      <c r="AC14" s="184"/>
      <c r="AD14" s="451" t="s">
        <v>396</v>
      </c>
      <c r="AE14" s="448" t="str">
        <f>+AE4</f>
        <v>Considerando acopio de residuos para 10 días de generación, playa para compostaje de 10 semanas, laguna preexistente.</v>
      </c>
      <c r="AF14" s="448" t="str">
        <f t="shared" ref="AF14:AL14" si="5">+AF4</f>
        <v xml:space="preserve">Proceso a cielo abierto, 2 pilas triangulares (50x2x1,2m)/calle, con tractor y volteadora de tiro. </v>
      </c>
      <c r="AG14" s="448" t="str">
        <f t="shared" si="5"/>
        <v>Mano de obra, combustible para tractor, mantenimiento maquinaria, fardos/Urea para mezclar con residuos.</v>
      </c>
      <c r="AH14" s="448" t="str">
        <f t="shared" si="5"/>
        <v>Acondicionamiento del sitio de acopio de residuos y playa de compostaje, compra de volteadora.</v>
      </c>
      <c r="AI14" s="448" t="str">
        <f t="shared" si="5"/>
        <v>Incrementan 3% su materia orgánica post aplicación del compost producido.</v>
      </c>
      <c r="AJ14" s="448" t="str">
        <f t="shared" si="5"/>
        <v>El N-P-K del compost producido aplicado al suelo sustituye al que era aportado por fertilizantes inorgánicos.</v>
      </c>
      <c r="AK14" s="456" t="e">
        <f>+#REF!</f>
        <v>#REF!</v>
      </c>
      <c r="AL14" s="448" t="str">
        <f t="shared" si="5"/>
        <v>Compost: 1,4 % de N; 1,2 % de P2O5; 0,35 % de K2O.</v>
      </c>
    </row>
    <row r="15" spans="1:274" s="19" customFormat="1" ht="105" x14ac:dyDescent="0.25">
      <c r="A15" s="287" t="s">
        <v>40</v>
      </c>
      <c r="B15" s="230" t="s">
        <v>24</v>
      </c>
      <c r="C15" s="214" t="str">
        <f t="shared" si="1"/>
        <v>Industrial avícolaSangre</v>
      </c>
      <c r="D15" s="215"/>
      <c r="E15" s="201" t="s">
        <v>253</v>
      </c>
      <c r="F15" s="200"/>
      <c r="G15" s="200" t="s">
        <v>377</v>
      </c>
      <c r="H15" s="200" t="s">
        <v>375</v>
      </c>
      <c r="I15" s="200" t="s">
        <v>371</v>
      </c>
      <c r="J15" s="200" t="s">
        <v>280</v>
      </c>
      <c r="K15" s="200" t="s">
        <v>378</v>
      </c>
      <c r="L15" s="200" t="s">
        <v>372</v>
      </c>
      <c r="M15" s="200" t="s">
        <v>373</v>
      </c>
      <c r="N15" s="200" t="s">
        <v>281</v>
      </c>
      <c r="O15" s="200" t="s">
        <v>373</v>
      </c>
      <c r="P15" s="200" t="s">
        <v>386</v>
      </c>
      <c r="Q15" s="200"/>
      <c r="R15" s="200" t="s">
        <v>374</v>
      </c>
      <c r="S15" s="200" t="s">
        <v>371</v>
      </c>
      <c r="T15" s="201" t="s">
        <v>227</v>
      </c>
      <c r="U15" s="200" t="s">
        <v>228</v>
      </c>
      <c r="V15" s="200" t="s">
        <v>394</v>
      </c>
      <c r="W15" s="200"/>
      <c r="X15" s="200"/>
      <c r="Y15" s="200"/>
      <c r="Z15" s="200"/>
      <c r="AA15" s="200"/>
      <c r="AB15" s="201"/>
      <c r="AC15" s="201"/>
      <c r="AD15" s="454" t="s">
        <v>396</v>
      </c>
      <c r="AE15" s="452" t="str">
        <f>+AE4</f>
        <v>Considerando acopio de residuos para 10 días de generación, playa para compostaje de 10 semanas, laguna preexistente.</v>
      </c>
      <c r="AF15" s="452" t="str">
        <f t="shared" ref="AF15:AL15" si="6">+AF4</f>
        <v xml:space="preserve">Proceso a cielo abierto, 2 pilas triangulares (50x2x1,2m)/calle, con tractor y volteadora de tiro. </v>
      </c>
      <c r="AG15" s="452" t="str">
        <f t="shared" si="6"/>
        <v>Mano de obra, combustible para tractor, mantenimiento maquinaria, fardos/Urea para mezclar con residuos.</v>
      </c>
      <c r="AH15" s="452" t="str">
        <f t="shared" si="6"/>
        <v>Acondicionamiento del sitio de acopio de residuos y playa de compostaje, compra de volteadora.</v>
      </c>
      <c r="AI15" s="452" t="str">
        <f t="shared" si="6"/>
        <v>Incrementan 3% su materia orgánica post aplicación del compost producido.</v>
      </c>
      <c r="AJ15" s="452" t="str">
        <f t="shared" si="6"/>
        <v>El N-P-K del compost producido aplicado al suelo sustituye al que era aportado por fertilizantes inorgánicos.</v>
      </c>
      <c r="AK15" s="457" t="e">
        <f>+#REF!</f>
        <v>#REF!</v>
      </c>
      <c r="AL15" s="452" t="str">
        <f t="shared" si="6"/>
        <v>Compost: 1,4 % de N; 1,2 % de P2O5; 0,35 % de K2O.</v>
      </c>
    </row>
    <row r="16" spans="1:274" s="19" customFormat="1" ht="60" x14ac:dyDescent="0.25">
      <c r="A16" s="288" t="s">
        <v>40</v>
      </c>
      <c r="B16" s="242" t="s">
        <v>27</v>
      </c>
      <c r="C16" s="216" t="str">
        <f t="shared" si="1"/>
        <v>Industrial avícolaPlumas</v>
      </c>
      <c r="D16" s="217"/>
      <c r="E16" s="218" t="s">
        <v>255</v>
      </c>
      <c r="F16" s="219" t="s">
        <v>262</v>
      </c>
      <c r="G16" s="219"/>
      <c r="H16" s="219"/>
      <c r="I16" s="219"/>
      <c r="J16" s="219"/>
      <c r="K16" s="219"/>
      <c r="L16" s="219"/>
      <c r="M16" s="218"/>
      <c r="N16" s="218"/>
      <c r="O16" s="218"/>
      <c r="P16" s="218"/>
      <c r="Q16" s="218"/>
      <c r="R16" s="218"/>
      <c r="S16" s="218"/>
      <c r="T16" s="218"/>
      <c r="U16" s="219"/>
      <c r="V16" s="219"/>
      <c r="W16" s="219"/>
      <c r="X16" s="218" t="s">
        <v>379</v>
      </c>
      <c r="Y16" s="218" t="s">
        <v>376</v>
      </c>
      <c r="Z16" s="218" t="s">
        <v>242</v>
      </c>
      <c r="AA16" s="218" t="s">
        <v>214</v>
      </c>
      <c r="AB16" s="218" t="s">
        <v>283</v>
      </c>
      <c r="AC16" s="218" t="s">
        <v>338</v>
      </c>
      <c r="AD16" s="454" t="s">
        <v>396</v>
      </c>
      <c r="AE16" s="452" t="s">
        <v>397</v>
      </c>
      <c r="AF16" s="452" t="s">
        <v>397</v>
      </c>
      <c r="AG16" s="452" t="s">
        <v>397</v>
      </c>
      <c r="AH16" s="452" t="s">
        <v>397</v>
      </c>
      <c r="AI16" s="452" t="s">
        <v>397</v>
      </c>
      <c r="AJ16" s="452" t="s">
        <v>397</v>
      </c>
      <c r="AK16" s="457" t="s">
        <v>397</v>
      </c>
      <c r="AL16" s="452" t="s">
        <v>397</v>
      </c>
    </row>
    <row r="17" spans="1:50" s="19" customFormat="1" ht="75" x14ac:dyDescent="0.25">
      <c r="A17" s="289" t="s">
        <v>40</v>
      </c>
      <c r="B17" s="232" t="s">
        <v>16</v>
      </c>
      <c r="C17" s="202" t="str">
        <f t="shared" si="1"/>
        <v xml:space="preserve">Industrial avícolaBarros grasos </v>
      </c>
      <c r="D17" s="220"/>
      <c r="E17" s="204" t="s">
        <v>254</v>
      </c>
      <c r="F17" s="203" t="s">
        <v>264</v>
      </c>
      <c r="G17" s="203" t="s">
        <v>370</v>
      </c>
      <c r="H17" s="203" t="s">
        <v>375</v>
      </c>
      <c r="I17" s="203" t="s">
        <v>371</v>
      </c>
      <c r="J17" s="203" t="s">
        <v>280</v>
      </c>
      <c r="K17" s="203" t="s">
        <v>378</v>
      </c>
      <c r="L17" s="203" t="s">
        <v>372</v>
      </c>
      <c r="M17" s="204" t="s">
        <v>373</v>
      </c>
      <c r="N17" s="204" t="s">
        <v>281</v>
      </c>
      <c r="O17" s="203" t="s">
        <v>373</v>
      </c>
      <c r="P17" s="203" t="s">
        <v>386</v>
      </c>
      <c r="Q17" s="203"/>
      <c r="R17" s="204" t="s">
        <v>374</v>
      </c>
      <c r="S17" s="204" t="s">
        <v>371</v>
      </c>
      <c r="T17" s="203" t="s">
        <v>227</v>
      </c>
      <c r="U17" s="203" t="s">
        <v>228</v>
      </c>
      <c r="V17" s="203" t="s">
        <v>394</v>
      </c>
      <c r="W17" s="203"/>
      <c r="X17" s="204"/>
      <c r="Y17" s="203"/>
      <c r="Z17" s="203"/>
      <c r="AA17" s="204"/>
      <c r="AB17" s="204"/>
      <c r="AC17" s="204"/>
      <c r="AD17" s="204"/>
      <c r="AE17" s="201"/>
      <c r="AF17" s="201"/>
      <c r="AG17" s="201"/>
      <c r="AH17" s="201"/>
      <c r="AI17" s="201"/>
      <c r="AJ17" s="201"/>
      <c r="AK17" s="461"/>
      <c r="AL17" s="201"/>
    </row>
    <row r="18" spans="1:50" s="19" customFormat="1" ht="30" x14ac:dyDescent="0.25">
      <c r="A18" s="284" t="s">
        <v>9</v>
      </c>
      <c r="B18" s="233" t="s">
        <v>22</v>
      </c>
      <c r="C18" s="205" t="str">
        <f t="shared" si="1"/>
        <v>FrigoríficosSólidos de aguas rojas</v>
      </c>
      <c r="D18" s="206" t="s">
        <v>263</v>
      </c>
      <c r="E18" s="207"/>
      <c r="F18" s="206"/>
      <c r="G18" s="206"/>
      <c r="H18" s="206"/>
      <c r="I18" s="206"/>
      <c r="J18" s="206"/>
      <c r="K18" s="206"/>
      <c r="L18" s="206"/>
      <c r="M18" s="207"/>
      <c r="N18" s="207"/>
      <c r="O18" s="207"/>
      <c r="P18" s="207"/>
      <c r="Q18" s="207"/>
      <c r="R18" s="206"/>
      <c r="S18" s="206"/>
      <c r="T18" s="206"/>
      <c r="U18" s="206"/>
      <c r="V18" s="206"/>
      <c r="W18" s="206"/>
      <c r="X18" s="206"/>
      <c r="Y18" s="206"/>
      <c r="Z18" s="206"/>
      <c r="AA18" s="206"/>
      <c r="AB18" s="207"/>
      <c r="AC18" s="207"/>
      <c r="AD18" s="207"/>
      <c r="AE18" s="188"/>
      <c r="AF18" s="188"/>
      <c r="AG18" s="188"/>
      <c r="AH18" s="188"/>
      <c r="AI18" s="188"/>
      <c r="AJ18" s="188"/>
      <c r="AK18" s="462"/>
      <c r="AL18" s="188"/>
    </row>
    <row r="19" spans="1:50" s="19" customFormat="1" ht="75" x14ac:dyDescent="0.25">
      <c r="A19" s="285" t="s">
        <v>9</v>
      </c>
      <c r="B19" s="234" t="s">
        <v>23</v>
      </c>
      <c r="C19" s="208" t="str">
        <f t="shared" si="1"/>
        <v>FrigoríficosRúmen y estiércol</v>
      </c>
      <c r="D19" s="209" t="s">
        <v>263</v>
      </c>
      <c r="E19" s="210" t="s">
        <v>267</v>
      </c>
      <c r="F19" s="209" t="s">
        <v>265</v>
      </c>
      <c r="G19" s="209" t="s">
        <v>370</v>
      </c>
      <c r="H19" s="209" t="s">
        <v>375</v>
      </c>
      <c r="I19" s="209" t="s">
        <v>371</v>
      </c>
      <c r="J19" s="209" t="s">
        <v>280</v>
      </c>
      <c r="K19" s="209" t="s">
        <v>378</v>
      </c>
      <c r="L19" s="209" t="s">
        <v>372</v>
      </c>
      <c r="M19" s="210" t="s">
        <v>373</v>
      </c>
      <c r="N19" s="210" t="s">
        <v>281</v>
      </c>
      <c r="O19" s="210" t="s">
        <v>373</v>
      </c>
      <c r="P19" s="210" t="s">
        <v>386</v>
      </c>
      <c r="Q19" s="210"/>
      <c r="R19" s="209" t="s">
        <v>374</v>
      </c>
      <c r="S19" s="209" t="s">
        <v>371</v>
      </c>
      <c r="T19" s="209" t="s">
        <v>227</v>
      </c>
      <c r="U19" s="209" t="s">
        <v>228</v>
      </c>
      <c r="V19" s="209" t="s">
        <v>394</v>
      </c>
      <c r="W19" s="209"/>
      <c r="X19" s="209" t="s">
        <v>379</v>
      </c>
      <c r="Y19" s="209" t="s">
        <v>376</v>
      </c>
      <c r="Z19" s="209" t="s">
        <v>242</v>
      </c>
      <c r="AA19" s="209" t="s">
        <v>214</v>
      </c>
      <c r="AB19" s="210" t="s">
        <v>283</v>
      </c>
      <c r="AC19" s="210" t="s">
        <v>338</v>
      </c>
      <c r="AD19" s="451" t="s">
        <v>396</v>
      </c>
      <c r="AE19" s="448" t="str">
        <f>+AE4</f>
        <v>Considerando acopio de residuos para 10 días de generación, playa para compostaje de 10 semanas, laguna preexistente.</v>
      </c>
      <c r="AF19" s="448" t="str">
        <f t="shared" ref="AF19:AL19" si="7">+AF4</f>
        <v xml:space="preserve">Proceso a cielo abierto, 2 pilas triangulares (50x2x1,2m)/calle, con tractor y volteadora de tiro. </v>
      </c>
      <c r="AG19" s="448" t="str">
        <f t="shared" si="7"/>
        <v>Mano de obra, combustible para tractor, mantenimiento maquinaria, fardos/Urea para mezclar con residuos.</v>
      </c>
      <c r="AH19" s="448" t="str">
        <f t="shared" si="7"/>
        <v>Acondicionamiento del sitio de acopio de residuos y playa de compostaje, compra de volteadora.</v>
      </c>
      <c r="AI19" s="448" t="str">
        <f t="shared" si="7"/>
        <v>Incrementan 3% su materia orgánica post aplicación del compost producido.</v>
      </c>
      <c r="AJ19" s="448" t="str">
        <f t="shared" si="7"/>
        <v>El N-P-K del compost producido aplicado al suelo sustituye al que era aportado por fertilizantes inorgánicos.</v>
      </c>
      <c r="AK19" s="456" t="e">
        <f>+#REF!</f>
        <v>#REF!</v>
      </c>
      <c r="AL19" s="448" t="str">
        <f t="shared" si="7"/>
        <v>Compost: 1,4 % de N; 1,2 % de P2O5; 0,35 % de K2O.</v>
      </c>
    </row>
    <row r="20" spans="1:50" s="19" customFormat="1" ht="30" x14ac:dyDescent="0.25">
      <c r="A20" s="285" t="s">
        <v>9</v>
      </c>
      <c r="B20" s="234" t="s">
        <v>15</v>
      </c>
      <c r="C20" s="208" t="str">
        <f t="shared" si="1"/>
        <v>FrigoríficosLodos PTE</v>
      </c>
      <c r="D20" s="209" t="s">
        <v>263</v>
      </c>
      <c r="E20" s="210"/>
      <c r="F20" s="209"/>
      <c r="G20" s="209"/>
      <c r="H20" s="209"/>
      <c r="I20" s="209"/>
      <c r="J20" s="209"/>
      <c r="K20" s="209"/>
      <c r="L20" s="209"/>
      <c r="M20" s="210"/>
      <c r="N20" s="210"/>
      <c r="O20" s="210"/>
      <c r="P20" s="210"/>
      <c r="Q20" s="210"/>
      <c r="R20" s="209"/>
      <c r="S20" s="209"/>
      <c r="T20" s="209"/>
      <c r="U20" s="209"/>
      <c r="V20" s="209"/>
      <c r="W20" s="209"/>
      <c r="X20" s="209"/>
      <c r="Y20" s="209"/>
      <c r="Z20" s="209"/>
      <c r="AA20" s="209"/>
      <c r="AB20" s="210"/>
      <c r="AC20" s="210"/>
      <c r="AD20" s="210"/>
      <c r="AE20" s="188"/>
      <c r="AF20" s="188"/>
      <c r="AG20" s="188"/>
      <c r="AH20" s="188"/>
      <c r="AI20" s="188"/>
      <c r="AJ20" s="188"/>
      <c r="AK20" s="462"/>
      <c r="AL20" s="188"/>
    </row>
    <row r="21" spans="1:50" s="19" customFormat="1" ht="30" x14ac:dyDescent="0.25">
      <c r="A21" s="285" t="s">
        <v>9</v>
      </c>
      <c r="B21" s="234" t="s">
        <v>16</v>
      </c>
      <c r="C21" s="208" t="str">
        <f t="shared" si="1"/>
        <v xml:space="preserve">FrigoríficosBarros grasos </v>
      </c>
      <c r="D21" s="209" t="s">
        <v>263</v>
      </c>
      <c r="E21" s="210"/>
      <c r="F21" s="209"/>
      <c r="G21" s="209"/>
      <c r="H21" s="209"/>
      <c r="I21" s="209"/>
      <c r="J21" s="209"/>
      <c r="K21" s="209"/>
      <c r="L21" s="209"/>
      <c r="M21" s="210"/>
      <c r="N21" s="210"/>
      <c r="O21" s="210"/>
      <c r="P21" s="210"/>
      <c r="Q21" s="210"/>
      <c r="R21" s="209"/>
      <c r="S21" s="209"/>
      <c r="T21" s="209"/>
      <c r="U21" s="209"/>
      <c r="V21" s="209"/>
      <c r="W21" s="209"/>
      <c r="X21" s="209"/>
      <c r="Y21" s="209"/>
      <c r="Z21" s="209"/>
      <c r="AA21" s="210"/>
      <c r="AB21" s="210"/>
      <c r="AC21" s="210"/>
      <c r="AD21" s="210"/>
      <c r="AE21" s="188"/>
      <c r="AF21" s="188"/>
      <c r="AG21" s="188"/>
      <c r="AH21" s="188"/>
      <c r="AI21" s="188"/>
      <c r="AJ21" s="188"/>
      <c r="AK21" s="462"/>
      <c r="AL21" s="188"/>
    </row>
    <row r="22" spans="1:50" s="19" customFormat="1" ht="30" x14ac:dyDescent="0.25">
      <c r="A22" s="285" t="s">
        <v>9</v>
      </c>
      <c r="B22" s="234" t="s">
        <v>24</v>
      </c>
      <c r="C22" s="208" t="str">
        <f t="shared" si="1"/>
        <v>FrigoríficosSangre</v>
      </c>
      <c r="D22" s="209" t="s">
        <v>263</v>
      </c>
      <c r="E22" s="210"/>
      <c r="F22" s="209"/>
      <c r="G22" s="209"/>
      <c r="H22" s="209"/>
      <c r="I22" s="209"/>
      <c r="J22" s="209"/>
      <c r="K22" s="209"/>
      <c r="L22" s="209"/>
      <c r="M22" s="210"/>
      <c r="N22" s="210"/>
      <c r="O22" s="210"/>
      <c r="P22" s="210"/>
      <c r="Q22" s="210"/>
      <c r="R22" s="209"/>
      <c r="S22" s="209"/>
      <c r="T22" s="209"/>
      <c r="U22" s="209"/>
      <c r="V22" s="209"/>
      <c r="W22" s="209"/>
      <c r="X22" s="209"/>
      <c r="Y22" s="209"/>
      <c r="Z22" s="209"/>
      <c r="AA22" s="210"/>
      <c r="AB22" s="210"/>
      <c r="AC22" s="210"/>
      <c r="AD22" s="210"/>
      <c r="AE22" s="188"/>
      <c r="AF22" s="188"/>
      <c r="AG22" s="188"/>
      <c r="AH22" s="188"/>
      <c r="AI22" s="188"/>
      <c r="AJ22" s="188"/>
      <c r="AK22" s="462"/>
      <c r="AL22" s="188"/>
    </row>
    <row r="23" spans="1:50" s="19" customFormat="1" ht="30" x14ac:dyDescent="0.25">
      <c r="A23" s="286" t="s">
        <v>9</v>
      </c>
      <c r="B23" s="235" t="s">
        <v>15</v>
      </c>
      <c r="C23" s="211" t="str">
        <f t="shared" si="1"/>
        <v>FrigoríficosLodos PTE</v>
      </c>
      <c r="D23" s="212" t="s">
        <v>263</v>
      </c>
      <c r="E23" s="213"/>
      <c r="F23" s="212"/>
      <c r="G23" s="212"/>
      <c r="H23" s="212"/>
      <c r="I23" s="212"/>
      <c r="J23" s="212"/>
      <c r="K23" s="212"/>
      <c r="L23" s="212"/>
      <c r="M23" s="212"/>
      <c r="N23" s="212"/>
      <c r="O23" s="212"/>
      <c r="P23" s="212"/>
      <c r="Q23" s="212"/>
      <c r="R23" s="212"/>
      <c r="S23" s="212"/>
      <c r="T23" s="212"/>
      <c r="U23" s="212"/>
      <c r="V23" s="212"/>
      <c r="W23" s="212"/>
      <c r="X23" s="212"/>
      <c r="Y23" s="212"/>
      <c r="Z23" s="212"/>
      <c r="AA23" s="213"/>
      <c r="AB23" s="213"/>
      <c r="AC23" s="213"/>
      <c r="AD23" s="213"/>
      <c r="AE23" s="188"/>
      <c r="AF23" s="188"/>
      <c r="AG23" s="188"/>
      <c r="AH23" s="188"/>
      <c r="AI23" s="188"/>
      <c r="AJ23" s="188"/>
      <c r="AK23" s="462"/>
      <c r="AL23" s="188"/>
    </row>
    <row r="24" spans="1:50" s="19" customFormat="1" ht="75" x14ac:dyDescent="0.25">
      <c r="A24" s="243" t="s">
        <v>11</v>
      </c>
      <c r="B24" s="244" t="s">
        <v>25</v>
      </c>
      <c r="C24" s="195" t="str">
        <f t="shared" si="1"/>
        <v>Producción olivícolaAlperujo</v>
      </c>
      <c r="D24" s="190" t="s">
        <v>275</v>
      </c>
      <c r="E24" s="190" t="s">
        <v>268</v>
      </c>
      <c r="F24" s="194" t="s">
        <v>269</v>
      </c>
      <c r="G24" s="190" t="s">
        <v>370</v>
      </c>
      <c r="H24" s="190" t="s">
        <v>375</v>
      </c>
      <c r="I24" s="190" t="s">
        <v>371</v>
      </c>
      <c r="J24" s="190" t="s">
        <v>280</v>
      </c>
      <c r="K24" s="190" t="s">
        <v>378</v>
      </c>
      <c r="L24" s="190" t="s">
        <v>372</v>
      </c>
      <c r="M24" s="191" t="s">
        <v>373</v>
      </c>
      <c r="N24" s="191" t="s">
        <v>281</v>
      </c>
      <c r="O24" s="191" t="s">
        <v>373</v>
      </c>
      <c r="P24" s="191" t="s">
        <v>386</v>
      </c>
      <c r="Q24" s="191"/>
      <c r="R24" s="190" t="s">
        <v>374</v>
      </c>
      <c r="S24" s="190" t="s">
        <v>371</v>
      </c>
      <c r="T24" s="190" t="s">
        <v>227</v>
      </c>
      <c r="U24" s="190" t="s">
        <v>228</v>
      </c>
      <c r="V24" s="190" t="s">
        <v>394</v>
      </c>
      <c r="W24" s="190"/>
      <c r="X24" s="190"/>
      <c r="Y24" s="190"/>
      <c r="Z24" s="190"/>
      <c r="AA24" s="190"/>
      <c r="AB24" s="192"/>
      <c r="AC24" s="192"/>
      <c r="AD24" s="454" t="s">
        <v>396</v>
      </c>
      <c r="AE24" s="452" t="str">
        <f>+AE4</f>
        <v>Considerando acopio de residuos para 10 días de generación, playa para compostaje de 10 semanas, laguna preexistente.</v>
      </c>
      <c r="AF24" s="452" t="str">
        <f t="shared" ref="AF24:AL24" si="8">+AF4</f>
        <v xml:space="preserve">Proceso a cielo abierto, 2 pilas triangulares (50x2x1,2m)/calle, con tractor y volteadora de tiro. </v>
      </c>
      <c r="AG24" s="452" t="str">
        <f t="shared" si="8"/>
        <v>Mano de obra, combustible para tractor, mantenimiento maquinaria, fardos/Urea para mezclar con residuos.</v>
      </c>
      <c r="AH24" s="452" t="str">
        <f t="shared" si="8"/>
        <v>Acondicionamiento del sitio de acopio de residuos y playa de compostaje, compra de volteadora.</v>
      </c>
      <c r="AI24" s="452" t="str">
        <f t="shared" si="8"/>
        <v>Incrementan 3% su materia orgánica post aplicación del compost producido.</v>
      </c>
      <c r="AJ24" s="452" t="str">
        <f t="shared" si="8"/>
        <v>El N-P-K del compost producido aplicado al suelo sustituye al que era aportado por fertilizantes inorgánicos.</v>
      </c>
      <c r="AK24" s="457" t="e">
        <f>+#REF!</f>
        <v>#REF!</v>
      </c>
      <c r="AL24" s="452" t="str">
        <f t="shared" si="8"/>
        <v>Compost: 1,4 % de N; 1,2 % de P2O5; 0,35 % de K2O.</v>
      </c>
    </row>
    <row r="25" spans="1:50" s="19" customFormat="1" ht="60" x14ac:dyDescent="0.25">
      <c r="A25" s="284" t="s">
        <v>12</v>
      </c>
      <c r="B25" s="233" t="s">
        <v>26</v>
      </c>
      <c r="C25" s="205" t="str">
        <f t="shared" si="1"/>
        <v>CurtiembresPelos</v>
      </c>
      <c r="D25" s="207" t="s">
        <v>270</v>
      </c>
      <c r="E25" s="206" t="s">
        <v>271</v>
      </c>
      <c r="F25" s="206" t="s">
        <v>272</v>
      </c>
      <c r="G25" s="206"/>
      <c r="H25" s="206"/>
      <c r="I25" s="206"/>
      <c r="J25" s="206"/>
      <c r="K25" s="206"/>
      <c r="L25" s="206"/>
      <c r="M25" s="207"/>
      <c r="N25" s="207"/>
      <c r="O25" s="207"/>
      <c r="P25" s="207"/>
      <c r="Q25" s="207"/>
      <c r="R25" s="206"/>
      <c r="S25" s="206"/>
      <c r="T25" s="206"/>
      <c r="U25" s="206"/>
      <c r="V25" s="206"/>
      <c r="W25" s="206"/>
      <c r="X25" s="206"/>
      <c r="Y25" s="206"/>
      <c r="Z25" s="206"/>
      <c r="AA25" s="206"/>
      <c r="AB25" s="207"/>
      <c r="AC25" s="207"/>
      <c r="AD25" s="451" t="s">
        <v>396</v>
      </c>
      <c r="AE25" s="448" t="str">
        <f>+AE4</f>
        <v>Considerando acopio de residuos para 10 días de generación, playa para compostaje de 10 semanas, laguna preexistente.</v>
      </c>
      <c r="AF25" s="448" t="str">
        <f t="shared" ref="AF25:AL25" si="9">+AF4</f>
        <v xml:space="preserve">Proceso a cielo abierto, 2 pilas triangulares (50x2x1,2m)/calle, con tractor y volteadora de tiro. </v>
      </c>
      <c r="AG25" s="448" t="str">
        <f t="shared" si="9"/>
        <v>Mano de obra, combustible para tractor, mantenimiento maquinaria, fardos/Urea para mezclar con residuos.</v>
      </c>
      <c r="AH25" s="448" t="str">
        <f t="shared" si="9"/>
        <v>Acondicionamiento del sitio de acopio de residuos y playa de compostaje, compra de volteadora.</v>
      </c>
      <c r="AI25" s="448" t="str">
        <f t="shared" si="9"/>
        <v>Incrementan 3% su materia orgánica post aplicación del compost producido.</v>
      </c>
      <c r="AJ25" s="448" t="str">
        <f t="shared" si="9"/>
        <v>El N-P-K del compost producido aplicado al suelo sustituye al que era aportado por fertilizantes inorgánicos.</v>
      </c>
      <c r="AK25" s="456" t="e">
        <f>+#REF!</f>
        <v>#REF!</v>
      </c>
      <c r="AL25" s="448" t="str">
        <f t="shared" si="9"/>
        <v>Compost: 1,4 % de N; 1,2 % de P2O5; 0,35 % de K2O.</v>
      </c>
    </row>
    <row r="26" spans="1:50" s="19" customFormat="1" ht="60" x14ac:dyDescent="0.25">
      <c r="A26" s="285" t="s">
        <v>12</v>
      </c>
      <c r="B26" s="234" t="s">
        <v>138</v>
      </c>
      <c r="C26" s="208" t="str">
        <f t="shared" si="1"/>
        <v xml:space="preserve">CurtiembresRecortes y virutas </v>
      </c>
      <c r="D26" s="210" t="s">
        <v>270</v>
      </c>
      <c r="E26" s="209" t="s">
        <v>273</v>
      </c>
      <c r="F26" s="209" t="s">
        <v>274</v>
      </c>
      <c r="G26" s="209"/>
      <c r="H26" s="209"/>
      <c r="I26" s="209"/>
      <c r="J26" s="209"/>
      <c r="K26" s="209"/>
      <c r="L26" s="209"/>
      <c r="M26" s="210"/>
      <c r="N26" s="210"/>
      <c r="O26" s="210"/>
      <c r="P26" s="210"/>
      <c r="Q26" s="210"/>
      <c r="R26" s="209"/>
      <c r="S26" s="209"/>
      <c r="T26" s="209"/>
      <c r="U26" s="209"/>
      <c r="V26" s="209"/>
      <c r="W26" s="209"/>
      <c r="X26" s="209" t="s">
        <v>379</v>
      </c>
      <c r="Y26" s="209" t="s">
        <v>376</v>
      </c>
      <c r="Z26" s="209" t="s">
        <v>242</v>
      </c>
      <c r="AA26" s="209" t="s">
        <v>214</v>
      </c>
      <c r="AB26" s="210" t="s">
        <v>283</v>
      </c>
      <c r="AC26" s="210" t="s">
        <v>338</v>
      </c>
      <c r="AD26" s="210"/>
      <c r="AE26" s="210"/>
      <c r="AF26" s="210"/>
      <c r="AG26" s="210"/>
      <c r="AH26" s="210"/>
      <c r="AI26" s="210"/>
      <c r="AJ26" s="210"/>
      <c r="AK26" s="459"/>
      <c r="AL26" s="210"/>
    </row>
    <row r="27" spans="1:50" s="19" customFormat="1" x14ac:dyDescent="0.25">
      <c r="A27" s="286" t="s">
        <v>12</v>
      </c>
      <c r="B27" s="235" t="s">
        <v>15</v>
      </c>
      <c r="C27" s="211" t="str">
        <f t="shared" si="1"/>
        <v>CurtiembresLodos PTE</v>
      </c>
      <c r="D27" s="213"/>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3"/>
      <c r="AC27" s="213"/>
      <c r="AD27" s="213"/>
      <c r="AE27" s="213"/>
      <c r="AF27" s="213"/>
      <c r="AG27" s="213"/>
      <c r="AH27" s="213"/>
      <c r="AI27" s="213"/>
      <c r="AJ27" s="213"/>
      <c r="AK27" s="460"/>
      <c r="AL27" s="213"/>
    </row>
    <row r="28" spans="1:50" s="19" customFormat="1" ht="45" x14ac:dyDescent="0.25">
      <c r="A28" s="287" t="s">
        <v>39</v>
      </c>
      <c r="B28" s="230" t="s">
        <v>28</v>
      </c>
      <c r="C28" s="214" t="str">
        <f t="shared" si="1"/>
        <v>Bodegas y sidreríasEscobajos</v>
      </c>
      <c r="D28" s="200" t="s">
        <v>276</v>
      </c>
      <c r="E28" s="388" t="s">
        <v>277</v>
      </c>
      <c r="F28" s="200" t="s">
        <v>278</v>
      </c>
      <c r="G28" s="200"/>
      <c r="H28" s="200"/>
      <c r="I28" s="200"/>
      <c r="J28" s="200"/>
      <c r="K28" s="200"/>
      <c r="L28" s="200"/>
      <c r="M28" s="201"/>
      <c r="N28" s="201"/>
      <c r="O28" s="201"/>
      <c r="P28" s="201"/>
      <c r="Q28" s="201"/>
      <c r="R28" s="201"/>
      <c r="S28" s="201"/>
      <c r="T28" s="201"/>
      <c r="U28" s="200"/>
      <c r="V28" s="200"/>
      <c r="W28" s="200"/>
      <c r="X28" s="200" t="s">
        <v>379</v>
      </c>
      <c r="Y28" s="200" t="s">
        <v>376</v>
      </c>
      <c r="Z28" s="200" t="s">
        <v>242</v>
      </c>
      <c r="AA28" s="201" t="s">
        <v>214</v>
      </c>
      <c r="AB28" s="201" t="s">
        <v>283</v>
      </c>
      <c r="AC28" s="201" t="s">
        <v>338</v>
      </c>
      <c r="AD28" s="454" t="s">
        <v>396</v>
      </c>
      <c r="AE28" s="452" t="str">
        <f>+AE4</f>
        <v>Considerando acopio de residuos para 10 días de generación, playa para compostaje de 10 semanas, laguna preexistente.</v>
      </c>
      <c r="AF28" s="452" t="str">
        <f t="shared" ref="AF28:AL28" si="10">+AF4</f>
        <v xml:space="preserve">Proceso a cielo abierto, 2 pilas triangulares (50x2x1,2m)/calle, con tractor y volteadora de tiro. </v>
      </c>
      <c r="AG28" s="452" t="str">
        <f t="shared" si="10"/>
        <v>Mano de obra, combustible para tractor, mantenimiento maquinaria, fardos/Urea para mezclar con residuos.</v>
      </c>
      <c r="AH28" s="452" t="str">
        <f t="shared" si="10"/>
        <v>Acondicionamiento del sitio de acopio de residuos y playa de compostaje, compra de volteadora.</v>
      </c>
      <c r="AI28" s="452" t="str">
        <f t="shared" si="10"/>
        <v>Incrementan 3% su materia orgánica post aplicación del compost producido.</v>
      </c>
      <c r="AJ28" s="452" t="str">
        <f t="shared" si="10"/>
        <v>El N-P-K del compost producido aplicado al suelo sustituye al que era aportado por fertilizantes inorgánicos.</v>
      </c>
      <c r="AK28" s="457" t="e">
        <f>+#REF!</f>
        <v>#REF!</v>
      </c>
      <c r="AL28" s="452" t="str">
        <f t="shared" si="10"/>
        <v>Compost: 1,4 % de N; 1,2 % de P2O5; 0,35 % de K2O.</v>
      </c>
    </row>
    <row r="29" spans="1:50" s="19" customFormat="1" ht="75" x14ac:dyDescent="0.25">
      <c r="A29" s="289" t="s">
        <v>39</v>
      </c>
      <c r="B29" s="232" t="s">
        <v>29</v>
      </c>
      <c r="C29" s="202" t="str">
        <f t="shared" si="1"/>
        <v>Bodegas y sidreríasOrujo</v>
      </c>
      <c r="D29" s="203" t="s">
        <v>276</v>
      </c>
      <c r="E29" s="389" t="s">
        <v>202</v>
      </c>
      <c r="F29" s="203" t="s">
        <v>213</v>
      </c>
      <c r="G29" s="203" t="s">
        <v>370</v>
      </c>
      <c r="H29" s="203" t="s">
        <v>375</v>
      </c>
      <c r="I29" s="203" t="s">
        <v>371</v>
      </c>
      <c r="J29" s="203" t="s">
        <v>280</v>
      </c>
      <c r="K29" s="203" t="s">
        <v>378</v>
      </c>
      <c r="L29" s="203" t="s">
        <v>372</v>
      </c>
      <c r="M29" s="204" t="s">
        <v>373</v>
      </c>
      <c r="N29" s="204" t="s">
        <v>281</v>
      </c>
      <c r="O29" s="203" t="s">
        <v>373</v>
      </c>
      <c r="P29" s="203" t="s">
        <v>386</v>
      </c>
      <c r="Q29" s="203"/>
      <c r="R29" s="203" t="s">
        <v>374</v>
      </c>
      <c r="S29" s="203" t="s">
        <v>371</v>
      </c>
      <c r="T29" s="203" t="s">
        <v>227</v>
      </c>
      <c r="U29" s="203" t="s">
        <v>228</v>
      </c>
      <c r="V29" s="203" t="s">
        <v>394</v>
      </c>
      <c r="W29" s="203"/>
      <c r="X29" s="203"/>
      <c r="Y29" s="203"/>
      <c r="Z29" s="203"/>
      <c r="AA29" s="203"/>
      <c r="AB29" s="204"/>
      <c r="AC29" s="204"/>
      <c r="AD29" s="454" t="s">
        <v>396</v>
      </c>
      <c r="AE29" s="452" t="str">
        <f>+AE4</f>
        <v>Considerando acopio de residuos para 10 días de generación, playa para compostaje de 10 semanas, laguna preexistente.</v>
      </c>
      <c r="AF29" s="452" t="str">
        <f t="shared" ref="AF29:AL29" si="11">+AF4</f>
        <v xml:space="preserve">Proceso a cielo abierto, 2 pilas triangulares (50x2x1,2m)/calle, con tractor y volteadora de tiro. </v>
      </c>
      <c r="AG29" s="452" t="str">
        <f t="shared" si="11"/>
        <v>Mano de obra, combustible para tractor, mantenimiento maquinaria, fardos/Urea para mezclar con residuos.</v>
      </c>
      <c r="AH29" s="452" t="str">
        <f t="shared" si="11"/>
        <v>Acondicionamiento del sitio de acopio de residuos y playa de compostaje, compra de volteadora.</v>
      </c>
      <c r="AI29" s="452" t="str">
        <f t="shared" si="11"/>
        <v>Incrementan 3% su materia orgánica post aplicación del compost producido.</v>
      </c>
      <c r="AJ29" s="452" t="str">
        <f t="shared" si="11"/>
        <v>El N-P-K del compost producido aplicado al suelo sustituye al que era aportado por fertilizantes inorgánicos.</v>
      </c>
      <c r="AK29" s="457" t="e">
        <f>+#REF!</f>
        <v>#REF!</v>
      </c>
      <c r="AL29" s="452" t="str">
        <f t="shared" si="11"/>
        <v>Compost: 1,4 % de N; 1,2 % de P2O5; 0,35 % de K2O.</v>
      </c>
      <c r="AQ29" s="110"/>
      <c r="AR29" s="110"/>
      <c r="AS29" s="110"/>
      <c r="AT29" s="110"/>
      <c r="AU29" s="110"/>
      <c r="AV29" s="110"/>
      <c r="AW29" s="110"/>
      <c r="AX29" s="110"/>
    </row>
  </sheetData>
  <sheetProtection selectLockedCells="1"/>
  <mergeCells count="1">
    <mergeCell ref="A10:A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FE97"/>
  <sheetViews>
    <sheetView showGridLines="0" zoomScale="80" zoomScaleNormal="80" workbookViewId="0">
      <selection activeCell="AE11" sqref="AE11"/>
    </sheetView>
  </sheetViews>
  <sheetFormatPr baseColWidth="10" defaultRowHeight="15" x14ac:dyDescent="0.25"/>
  <cols>
    <col min="1" max="1" width="37.140625" bestFit="1" customWidth="1"/>
    <col min="2" max="2" width="51.7109375" bestFit="1" customWidth="1"/>
    <col min="3" max="3" width="25.42578125" customWidth="1"/>
    <col min="4" max="4" width="30.7109375" customWidth="1"/>
    <col min="5" max="5" width="31.140625" bestFit="1" customWidth="1"/>
    <col min="6" max="6" width="25.7109375" customWidth="1"/>
    <col min="7" max="7" width="13" customWidth="1"/>
    <col min="8" max="8" width="34.7109375" bestFit="1" customWidth="1"/>
    <col min="9" max="9" width="14.140625" style="20" customWidth="1"/>
    <col min="10" max="10" width="22.140625" style="23" customWidth="1"/>
    <col min="11" max="12" width="9.28515625" customWidth="1"/>
    <col min="13" max="13" width="22.85546875" customWidth="1"/>
    <col min="14" max="15" width="16.140625" customWidth="1"/>
    <col min="16" max="16" width="12.5703125" customWidth="1"/>
    <col min="17" max="17" width="12" style="23" customWidth="1"/>
    <col min="18" max="22" width="12" customWidth="1"/>
    <col min="23" max="23" width="12" style="23" customWidth="1"/>
    <col min="24" max="24" width="11.7109375" customWidth="1"/>
    <col min="25" max="25" width="94.140625" bestFit="1" customWidth="1"/>
    <col min="26" max="26" width="41" bestFit="1" customWidth="1"/>
    <col min="27" max="27" width="8.7109375" customWidth="1"/>
    <col min="28" max="28" width="30.5703125" customWidth="1"/>
    <col min="29" max="29" width="14.85546875" customWidth="1"/>
    <col min="30" max="30" width="19" bestFit="1" customWidth="1"/>
    <col min="31" max="31" width="31.85546875" customWidth="1"/>
  </cols>
  <sheetData>
    <row r="1" spans="1:161" s="23" customFormat="1" x14ac:dyDescent="0.25">
      <c r="F1" s="23">
        <v>1</v>
      </c>
      <c r="G1" s="23">
        <f>1+F1</f>
        <v>2</v>
      </c>
      <c r="H1" s="23">
        <f t="shared" ref="H1:W1" si="0">1+G1</f>
        <v>3</v>
      </c>
      <c r="I1" s="23">
        <f t="shared" si="0"/>
        <v>4</v>
      </c>
      <c r="J1" s="23">
        <f t="shared" si="0"/>
        <v>5</v>
      </c>
      <c r="K1" s="23">
        <f t="shared" si="0"/>
        <v>6</v>
      </c>
      <c r="L1" s="23">
        <f t="shared" si="0"/>
        <v>7</v>
      </c>
      <c r="M1" s="23">
        <f t="shared" si="0"/>
        <v>8</v>
      </c>
      <c r="N1" s="23">
        <f t="shared" si="0"/>
        <v>9</v>
      </c>
      <c r="O1" s="23">
        <f t="shared" si="0"/>
        <v>10</v>
      </c>
      <c r="P1" s="23">
        <f t="shared" si="0"/>
        <v>11</v>
      </c>
      <c r="Q1" s="23">
        <f t="shared" si="0"/>
        <v>12</v>
      </c>
      <c r="R1" s="23">
        <f t="shared" si="0"/>
        <v>13</v>
      </c>
      <c r="S1" s="23">
        <f t="shared" si="0"/>
        <v>14</v>
      </c>
      <c r="T1" s="23">
        <f t="shared" si="0"/>
        <v>15</v>
      </c>
      <c r="U1" s="23">
        <f t="shared" si="0"/>
        <v>16</v>
      </c>
      <c r="V1" s="23">
        <f t="shared" si="0"/>
        <v>17</v>
      </c>
      <c r="W1" s="23">
        <f t="shared" si="0"/>
        <v>18</v>
      </c>
      <c r="X1" s="23">
        <v>19</v>
      </c>
    </row>
    <row r="2" spans="1:161" s="120" customFormat="1" ht="140.25" customHeight="1" x14ac:dyDescent="0.25">
      <c r="A2" s="486" t="s">
        <v>1</v>
      </c>
      <c r="B2" s="487"/>
      <c r="D2" s="118" t="s">
        <v>0</v>
      </c>
      <c r="E2" s="119" t="s">
        <v>13</v>
      </c>
      <c r="F2" s="17" t="s">
        <v>52</v>
      </c>
      <c r="G2" s="484" t="s">
        <v>43</v>
      </c>
      <c r="H2" s="485"/>
      <c r="I2" s="29" t="s">
        <v>108</v>
      </c>
      <c r="J2" s="119" t="s">
        <v>226</v>
      </c>
      <c r="K2" s="118" t="s">
        <v>85</v>
      </c>
      <c r="L2" s="119" t="s">
        <v>86</v>
      </c>
      <c r="M2" s="29" t="s">
        <v>47</v>
      </c>
      <c r="N2" s="18" t="s">
        <v>83</v>
      </c>
      <c r="O2" s="18" t="s">
        <v>50</v>
      </c>
      <c r="P2" s="119" t="s">
        <v>49</v>
      </c>
      <c r="Q2" s="18" t="s">
        <v>126</v>
      </c>
      <c r="R2" s="18" t="s">
        <v>44</v>
      </c>
      <c r="S2" s="18" t="s">
        <v>45</v>
      </c>
      <c r="T2" s="18" t="s">
        <v>46</v>
      </c>
      <c r="U2" s="18" t="s">
        <v>84</v>
      </c>
      <c r="V2" s="18" t="s">
        <v>48</v>
      </c>
      <c r="W2" s="119" t="s">
        <v>131</v>
      </c>
      <c r="X2" s="333" t="s">
        <v>231</v>
      </c>
      <c r="Y2" s="121" t="s">
        <v>99</v>
      </c>
      <c r="AA2" s="121"/>
    </row>
    <row r="3" spans="1:161" x14ac:dyDescent="0.25">
      <c r="A3" s="4" t="s">
        <v>0</v>
      </c>
      <c r="B3" s="4" t="s">
        <v>2</v>
      </c>
      <c r="C3" s="4" t="s">
        <v>224</v>
      </c>
      <c r="D3" s="153" t="s">
        <v>3</v>
      </c>
      <c r="E3" s="154" t="s">
        <v>14</v>
      </c>
      <c r="F3" s="155" t="str">
        <f>D3&amp;feedlot</f>
        <v>Engorde a corralEstiércol</v>
      </c>
      <c r="G3" s="420">
        <v>3.4</v>
      </c>
      <c r="H3" s="154" t="s">
        <v>132</v>
      </c>
      <c r="I3" s="158">
        <v>200</v>
      </c>
      <c r="J3" s="159">
        <f>(G3*I3/1000)/(K3/100)</f>
        <v>3.4</v>
      </c>
      <c r="K3" s="160">
        <v>20</v>
      </c>
      <c r="L3" s="161">
        <v>38</v>
      </c>
      <c r="M3" s="162">
        <v>240</v>
      </c>
      <c r="N3" s="163"/>
      <c r="O3" s="163"/>
      <c r="P3" s="161"/>
      <c r="Q3" s="163">
        <v>21.4</v>
      </c>
      <c r="R3" s="163">
        <v>1.3</v>
      </c>
      <c r="S3" s="163">
        <v>0.4</v>
      </c>
      <c r="T3" s="163">
        <v>0.84</v>
      </c>
      <c r="U3" s="163">
        <v>2.8</v>
      </c>
      <c r="V3" s="164">
        <f>Q3/R3</f>
        <v>16.46153846153846</v>
      </c>
      <c r="W3" s="161">
        <v>0.62</v>
      </c>
      <c r="X3" s="8" t="s">
        <v>232</v>
      </c>
      <c r="Y3" s="2" t="s">
        <v>53</v>
      </c>
    </row>
    <row r="4" spans="1:161" x14ac:dyDescent="0.25">
      <c r="A4" s="5" t="s">
        <v>3</v>
      </c>
      <c r="B4" s="5" t="s">
        <v>204</v>
      </c>
      <c r="C4" s="123" t="s">
        <v>307</v>
      </c>
      <c r="D4" s="124" t="s">
        <v>4</v>
      </c>
      <c r="E4" s="1" t="s">
        <v>14</v>
      </c>
      <c r="F4" s="125" t="str">
        <f>D4&amp;E4</f>
        <v>TambosEstiércol</v>
      </c>
      <c r="G4" s="343">
        <v>1.2</v>
      </c>
      <c r="H4" s="63" t="s">
        <v>133</v>
      </c>
      <c r="I4" s="126">
        <v>365</v>
      </c>
      <c r="J4" s="127">
        <f>(G4*I4/1000)/(K4/100)</f>
        <v>2.19</v>
      </c>
      <c r="K4" s="128">
        <v>20</v>
      </c>
      <c r="L4" s="129">
        <v>60</v>
      </c>
      <c r="M4" s="130">
        <v>240</v>
      </c>
      <c r="N4" s="131"/>
      <c r="O4" s="131"/>
      <c r="P4" s="129"/>
      <c r="Q4" s="132">
        <v>33</v>
      </c>
      <c r="R4" s="131">
        <v>1.75</v>
      </c>
      <c r="S4" s="131">
        <v>0.54</v>
      </c>
      <c r="T4" s="131">
        <v>0.8</v>
      </c>
      <c r="U4" s="131">
        <v>1.1000000000000001</v>
      </c>
      <c r="V4" s="133">
        <f>Q4/R4</f>
        <v>18.857142857142858</v>
      </c>
      <c r="W4" s="129">
        <v>1</v>
      </c>
      <c r="X4" s="8" t="s">
        <v>232</v>
      </c>
      <c r="Y4" s="24" t="s">
        <v>59</v>
      </c>
      <c r="Z4" s="45">
        <v>60</v>
      </c>
      <c r="AA4" s="24" t="s">
        <v>54</v>
      </c>
      <c r="AB4" s="24"/>
      <c r="AC4" s="24"/>
      <c r="AD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row>
    <row r="5" spans="1:161" x14ac:dyDescent="0.25">
      <c r="A5" s="6" t="s">
        <v>4</v>
      </c>
      <c r="B5" s="6" t="s">
        <v>5</v>
      </c>
      <c r="C5" s="113" t="s">
        <v>305</v>
      </c>
      <c r="D5" s="124" t="s">
        <v>4</v>
      </c>
      <c r="E5" s="1" t="s">
        <v>135</v>
      </c>
      <c r="F5" s="125" t="str">
        <f>D5&amp;E5</f>
        <v>TambosEstiércol prensado</v>
      </c>
      <c r="G5" s="344">
        <f>+G4*0.1</f>
        <v>0.12</v>
      </c>
      <c r="H5" s="64" t="s">
        <v>133</v>
      </c>
      <c r="I5" s="126">
        <v>365</v>
      </c>
      <c r="J5" s="254">
        <f>(G5*I5/1000)/(K5/100)</f>
        <v>0.21899999999999997</v>
      </c>
      <c r="K5" s="128">
        <v>20</v>
      </c>
      <c r="L5" s="129">
        <v>80</v>
      </c>
      <c r="M5" s="130"/>
      <c r="N5" s="133">
        <f>14500/4.18</f>
        <v>3468.8995215311006</v>
      </c>
      <c r="O5" s="133">
        <f>15500/4.18</f>
        <v>3708.1339712918661</v>
      </c>
      <c r="P5" s="129">
        <v>20</v>
      </c>
      <c r="Q5" s="132">
        <v>42</v>
      </c>
      <c r="R5" s="131">
        <v>1.1000000000000001</v>
      </c>
      <c r="S5" s="131">
        <v>0.18</v>
      </c>
      <c r="T5" s="131">
        <v>0.25</v>
      </c>
      <c r="U5" s="131">
        <v>0.75</v>
      </c>
      <c r="V5" s="133">
        <v>36</v>
      </c>
      <c r="W5" s="129">
        <v>0.6</v>
      </c>
      <c r="X5" s="8" t="s">
        <v>232</v>
      </c>
      <c r="Y5" t="s">
        <v>127</v>
      </c>
      <c r="Z5" s="15">
        <v>2</v>
      </c>
      <c r="AA5" t="s">
        <v>54</v>
      </c>
      <c r="AC5" s="24"/>
    </row>
    <row r="6" spans="1:161" x14ac:dyDescent="0.25">
      <c r="A6" s="6" t="s">
        <v>6</v>
      </c>
      <c r="B6" s="6" t="s">
        <v>212</v>
      </c>
      <c r="C6" s="6" t="s">
        <v>225</v>
      </c>
      <c r="D6" s="134" t="s">
        <v>6</v>
      </c>
      <c r="E6" s="63" t="s">
        <v>15</v>
      </c>
      <c r="F6" s="135" t="str">
        <f t="shared" ref="F6:F27" si="1">D6&amp;E6</f>
        <v>Industria LácteaLodos PTE</v>
      </c>
      <c r="G6" s="275">
        <f>1.3/1000</f>
        <v>1.2999999999999999E-3</v>
      </c>
      <c r="H6" s="137" t="s">
        <v>68</v>
      </c>
      <c r="I6" s="138">
        <v>365</v>
      </c>
      <c r="J6" s="255">
        <f>G6</f>
        <v>1.2999999999999999E-3</v>
      </c>
      <c r="K6" s="136">
        <v>10</v>
      </c>
      <c r="L6" s="139">
        <v>80</v>
      </c>
      <c r="M6" s="140">
        <v>280</v>
      </c>
      <c r="N6" s="141"/>
      <c r="O6" s="141"/>
      <c r="P6" s="139"/>
      <c r="Q6" s="141"/>
      <c r="R6" s="141"/>
      <c r="S6" s="141"/>
      <c r="T6" s="141"/>
      <c r="U6" s="141"/>
      <c r="V6" s="142"/>
      <c r="W6" s="139"/>
      <c r="X6" s="8" t="s">
        <v>233</v>
      </c>
      <c r="Y6" t="s">
        <v>181</v>
      </c>
      <c r="Z6" s="15">
        <v>75</v>
      </c>
      <c r="AA6" t="s">
        <v>54</v>
      </c>
      <c r="AC6" s="62"/>
      <c r="AE6" s="488" t="s">
        <v>145</v>
      </c>
      <c r="AF6" s="488"/>
      <c r="AG6" s="488" t="s">
        <v>146</v>
      </c>
      <c r="AH6" s="488"/>
    </row>
    <row r="7" spans="1:161" x14ac:dyDescent="0.25">
      <c r="A7" s="6" t="s">
        <v>182</v>
      </c>
      <c r="B7" s="6" t="s">
        <v>205</v>
      </c>
      <c r="C7" s="6" t="s">
        <v>225</v>
      </c>
      <c r="D7" s="124" t="s">
        <v>6</v>
      </c>
      <c r="E7" s="1" t="s">
        <v>16</v>
      </c>
      <c r="F7" s="125" t="str">
        <f t="shared" si="1"/>
        <v xml:space="preserve">Industria LácteaBarros grasos </v>
      </c>
      <c r="G7" s="276">
        <f>1.23/1000</f>
        <v>1.23E-3</v>
      </c>
      <c r="H7" s="143" t="s">
        <v>68</v>
      </c>
      <c r="I7" s="126">
        <v>365</v>
      </c>
      <c r="J7" s="173">
        <f>G7</f>
        <v>1.23E-3</v>
      </c>
      <c r="K7" s="128">
        <v>13</v>
      </c>
      <c r="L7" s="129">
        <v>95</v>
      </c>
      <c r="M7" s="130">
        <v>600</v>
      </c>
      <c r="N7" s="131"/>
      <c r="O7" s="131"/>
      <c r="P7" s="129"/>
      <c r="Q7" s="131"/>
      <c r="R7" s="131">
        <v>0.8</v>
      </c>
      <c r="S7" s="131">
        <v>0.08</v>
      </c>
      <c r="T7" s="131"/>
      <c r="U7" s="131"/>
      <c r="V7" s="133"/>
      <c r="W7" s="129"/>
      <c r="X7" s="8" t="s">
        <v>233</v>
      </c>
      <c r="Y7" t="s">
        <v>55</v>
      </c>
      <c r="Z7" s="15">
        <v>9.9</v>
      </c>
      <c r="AA7" t="s">
        <v>56</v>
      </c>
      <c r="AD7" t="s">
        <v>142</v>
      </c>
      <c r="AE7" s="15">
        <f>2700*0.00116</f>
        <v>3.1320000000000001</v>
      </c>
      <c r="AF7" t="s">
        <v>61</v>
      </c>
      <c r="AG7" s="23">
        <v>68</v>
      </c>
      <c r="AH7" t="s">
        <v>102</v>
      </c>
    </row>
    <row r="8" spans="1:161" x14ac:dyDescent="0.25">
      <c r="A8" s="6" t="s">
        <v>183</v>
      </c>
      <c r="B8" s="6" t="s">
        <v>203</v>
      </c>
      <c r="C8" s="6" t="s">
        <v>225</v>
      </c>
      <c r="D8" s="144" t="s">
        <v>6</v>
      </c>
      <c r="E8" s="64" t="s">
        <v>17</v>
      </c>
      <c r="F8" s="145" t="str">
        <f t="shared" si="1"/>
        <v>Industria LácteaSuero</v>
      </c>
      <c r="G8" s="249">
        <v>0.85</v>
      </c>
      <c r="H8" s="147" t="s">
        <v>51</v>
      </c>
      <c r="I8" s="148">
        <v>365</v>
      </c>
      <c r="J8" s="256">
        <f>G8</f>
        <v>0.85</v>
      </c>
      <c r="K8" s="146">
        <v>4</v>
      </c>
      <c r="L8" s="149">
        <v>90</v>
      </c>
      <c r="M8" s="150">
        <v>250</v>
      </c>
      <c r="N8" s="151"/>
      <c r="O8" s="151"/>
      <c r="P8" s="149"/>
      <c r="Q8" s="151"/>
      <c r="R8" s="151"/>
      <c r="S8" s="151"/>
      <c r="T8" s="151"/>
      <c r="U8" s="151"/>
      <c r="V8" s="152"/>
      <c r="W8" s="149"/>
      <c r="X8" s="8" t="s">
        <v>233</v>
      </c>
      <c r="Y8" t="s">
        <v>58</v>
      </c>
      <c r="Z8" s="15">
        <v>10</v>
      </c>
      <c r="AA8" t="s">
        <v>54</v>
      </c>
      <c r="AD8" t="s">
        <v>143</v>
      </c>
      <c r="AE8">
        <f>9500*0.00116</f>
        <v>11.02</v>
      </c>
      <c r="AF8" t="s">
        <v>147</v>
      </c>
      <c r="AG8">
        <f>21.45/AE11</f>
        <v>0.65</v>
      </c>
      <c r="AH8" t="s">
        <v>148</v>
      </c>
    </row>
    <row r="9" spans="1:161" x14ac:dyDescent="0.25">
      <c r="A9" s="9" t="s">
        <v>7</v>
      </c>
      <c r="B9" s="9" t="s">
        <v>211</v>
      </c>
      <c r="C9" s="113" t="s">
        <v>306</v>
      </c>
      <c r="D9" s="134" t="s">
        <v>182</v>
      </c>
      <c r="E9" s="63" t="s">
        <v>18</v>
      </c>
      <c r="F9" s="156" t="str">
        <f t="shared" si="1"/>
        <v>Criaderos de porcinos (engorde)Residuos de alimentos</v>
      </c>
      <c r="G9" s="275"/>
      <c r="H9" s="137"/>
      <c r="I9" s="138">
        <v>365</v>
      </c>
      <c r="J9" s="257"/>
      <c r="K9" s="136"/>
      <c r="L9" s="139"/>
      <c r="M9" s="140"/>
      <c r="N9" s="141"/>
      <c r="O9" s="141"/>
      <c r="P9" s="139"/>
      <c r="Q9" s="141"/>
      <c r="R9" s="141"/>
      <c r="S9" s="141"/>
      <c r="T9" s="141"/>
      <c r="U9" s="141"/>
      <c r="V9" s="142"/>
      <c r="W9" s="139"/>
      <c r="X9" s="8" t="s">
        <v>232</v>
      </c>
      <c r="Y9" t="s">
        <v>57</v>
      </c>
      <c r="Z9" s="15">
        <v>35</v>
      </c>
      <c r="AA9" t="s">
        <v>54</v>
      </c>
      <c r="AD9" t="s">
        <v>144</v>
      </c>
      <c r="AE9">
        <f>8600*0.00116</f>
        <v>9.9760000000000009</v>
      </c>
      <c r="AF9" t="s">
        <v>147</v>
      </c>
      <c r="AG9" s="25">
        <f>40.4/AE11</f>
        <v>1.2242424242424241</v>
      </c>
      <c r="AH9" t="s">
        <v>148</v>
      </c>
    </row>
    <row r="10" spans="1:161" x14ac:dyDescent="0.25">
      <c r="A10" s="9" t="s">
        <v>8</v>
      </c>
      <c r="B10" s="9" t="s">
        <v>206</v>
      </c>
      <c r="C10" s="113" t="s">
        <v>306</v>
      </c>
      <c r="D10" s="144" t="s">
        <v>182</v>
      </c>
      <c r="E10" s="64" t="s">
        <v>19</v>
      </c>
      <c r="F10" s="145" t="str">
        <f t="shared" si="1"/>
        <v>Criaderos de porcinos (engorde)Excretas  y purines</v>
      </c>
      <c r="G10" s="249">
        <f>2.3*K10/100</f>
        <v>0.87399999999999989</v>
      </c>
      <c r="H10" s="250" t="s">
        <v>132</v>
      </c>
      <c r="I10" s="126">
        <v>365</v>
      </c>
      <c r="J10" s="173">
        <f>(G10*I10/1000)/(K10/100)</f>
        <v>0.83949999999999991</v>
      </c>
      <c r="K10" s="146">
        <v>38</v>
      </c>
      <c r="L10" s="149">
        <v>82</v>
      </c>
      <c r="M10" s="150">
        <v>480</v>
      </c>
      <c r="N10" s="151"/>
      <c r="O10" s="151"/>
      <c r="P10" s="149"/>
      <c r="Q10" s="151">
        <v>35.299999999999997</v>
      </c>
      <c r="R10" s="151">
        <v>3.1</v>
      </c>
      <c r="S10" s="151">
        <v>1</v>
      </c>
      <c r="T10" s="151">
        <v>1.1000000000000001</v>
      </c>
      <c r="U10" s="151">
        <v>1.4</v>
      </c>
      <c r="V10" s="152">
        <f>Q10/R10</f>
        <v>11.387096774193546</v>
      </c>
      <c r="W10" s="149">
        <v>0.9</v>
      </c>
      <c r="X10" s="8" t="s">
        <v>232</v>
      </c>
      <c r="Y10" t="s">
        <v>60</v>
      </c>
      <c r="Z10" s="15">
        <v>90</v>
      </c>
      <c r="AA10" t="s">
        <v>54</v>
      </c>
    </row>
    <row r="11" spans="1:161" x14ac:dyDescent="0.25">
      <c r="A11" s="9" t="s">
        <v>40</v>
      </c>
      <c r="B11" s="9" t="s">
        <v>210</v>
      </c>
      <c r="C11" s="9" t="s">
        <v>225</v>
      </c>
      <c r="D11" s="124" t="s">
        <v>183</v>
      </c>
      <c r="E11" s="1" t="s">
        <v>19</v>
      </c>
      <c r="F11" s="157" t="str">
        <f t="shared" si="1"/>
        <v>Criaderos de porcinos (ciclo completo)Excretas  y purines</v>
      </c>
      <c r="G11" s="251">
        <f>20.9693*K11/100</f>
        <v>7.9683339999999996</v>
      </c>
      <c r="H11" s="252" t="s">
        <v>132</v>
      </c>
      <c r="I11" s="174">
        <v>365</v>
      </c>
      <c r="J11" s="251">
        <f>(G11*I11/1000)/(K11/100)</f>
        <v>7.6537945000000001</v>
      </c>
      <c r="K11" s="163">
        <v>38</v>
      </c>
      <c r="L11" s="161">
        <v>82</v>
      </c>
      <c r="M11" s="130">
        <v>480</v>
      </c>
      <c r="N11" s="131"/>
      <c r="O11" s="131"/>
      <c r="P11" s="129"/>
      <c r="Q11" s="131">
        <v>35.299999999999997</v>
      </c>
      <c r="R11" s="131">
        <v>3.1</v>
      </c>
      <c r="S11" s="131">
        <v>1</v>
      </c>
      <c r="T11" s="131">
        <v>1.1000000000000001</v>
      </c>
      <c r="U11" s="131">
        <v>1.4</v>
      </c>
      <c r="V11" s="133">
        <v>11.387096774193546</v>
      </c>
      <c r="W11" s="129">
        <v>0.9</v>
      </c>
      <c r="X11" s="8" t="s">
        <v>232</v>
      </c>
      <c r="Y11" s="23" t="s">
        <v>149</v>
      </c>
      <c r="Z11" s="15">
        <v>40</v>
      </c>
      <c r="AA11" s="23" t="s">
        <v>54</v>
      </c>
      <c r="AD11" t="s">
        <v>151</v>
      </c>
      <c r="AE11">
        <v>33</v>
      </c>
      <c r="AF11" t="s">
        <v>152</v>
      </c>
    </row>
    <row r="12" spans="1:161" x14ac:dyDescent="0.25">
      <c r="A12" s="9" t="s">
        <v>9</v>
      </c>
      <c r="B12" s="9" t="s">
        <v>10</v>
      </c>
      <c r="C12" s="122" t="s">
        <v>217</v>
      </c>
      <c r="D12" s="134" t="s">
        <v>7</v>
      </c>
      <c r="E12" s="63" t="s">
        <v>20</v>
      </c>
      <c r="F12" s="125" t="str">
        <f t="shared" si="1"/>
        <v>Cría de pollos parrillerosCamas</v>
      </c>
      <c r="G12" s="277">
        <f>1.35143462753724*K12/100</f>
        <v>1.0811477020297919</v>
      </c>
      <c r="H12" s="143" t="s">
        <v>198</v>
      </c>
      <c r="I12" s="175">
        <v>365</v>
      </c>
      <c r="J12" s="254">
        <f>(G12/1000)/(K12/100)</f>
        <v>1.3514346275372397E-3</v>
      </c>
      <c r="K12" s="131">
        <v>80</v>
      </c>
      <c r="L12" s="129">
        <v>78</v>
      </c>
      <c r="M12" s="140"/>
      <c r="N12" s="142">
        <f>12200/4.18</f>
        <v>2918.6602870813399</v>
      </c>
      <c r="O12" s="142">
        <f>13100/4.18</f>
        <v>3133.9712918660289</v>
      </c>
      <c r="P12" s="139">
        <v>30</v>
      </c>
      <c r="Q12" s="141">
        <v>36</v>
      </c>
      <c r="R12" s="141">
        <v>3</v>
      </c>
      <c r="S12" s="141">
        <v>1.9</v>
      </c>
      <c r="T12" s="141">
        <v>1.7</v>
      </c>
      <c r="U12" s="141">
        <v>2.89</v>
      </c>
      <c r="V12" s="142">
        <v>13</v>
      </c>
      <c r="W12" s="139">
        <v>0.34</v>
      </c>
      <c r="X12" s="8" t="s">
        <v>233</v>
      </c>
    </row>
    <row r="13" spans="1:161" x14ac:dyDescent="0.25">
      <c r="A13" s="9" t="s">
        <v>11</v>
      </c>
      <c r="B13" s="9" t="s">
        <v>209</v>
      </c>
      <c r="C13" s="113" t="s">
        <v>308</v>
      </c>
      <c r="D13" s="153" t="s">
        <v>8</v>
      </c>
      <c r="E13" s="154" t="s">
        <v>21</v>
      </c>
      <c r="F13" s="155" t="str">
        <f t="shared" si="1"/>
        <v>Avícolas ponedorasExcretas</v>
      </c>
      <c r="G13" s="278">
        <f>0.12*K13/100</f>
        <v>4.0800000000000003E-2</v>
      </c>
      <c r="H13" s="137" t="s">
        <v>197</v>
      </c>
      <c r="I13" s="148">
        <v>365</v>
      </c>
      <c r="J13" s="258">
        <f>(G13*I13/1000)/(K13/100)</f>
        <v>4.3799999999999999E-2</v>
      </c>
      <c r="K13" s="272">
        <v>34</v>
      </c>
      <c r="L13" s="161">
        <v>65</v>
      </c>
      <c r="M13" s="162">
        <v>280</v>
      </c>
      <c r="N13" s="164"/>
      <c r="O13" s="164"/>
      <c r="P13" s="161"/>
      <c r="Q13" s="163">
        <v>33.200000000000003</v>
      </c>
      <c r="R13" s="163">
        <v>3.7</v>
      </c>
      <c r="S13" s="163">
        <v>2</v>
      </c>
      <c r="T13" s="163">
        <v>2.1</v>
      </c>
      <c r="U13" s="163">
        <v>7.6</v>
      </c>
      <c r="V13" s="361">
        <f>Q13/R13</f>
        <v>8.9729729729729737</v>
      </c>
      <c r="W13" s="161">
        <v>0.9</v>
      </c>
      <c r="X13" s="8" t="s">
        <v>233</v>
      </c>
      <c r="Y13" t="s">
        <v>101</v>
      </c>
    </row>
    <row r="14" spans="1:161" x14ac:dyDescent="0.25">
      <c r="A14" s="9" t="s">
        <v>12</v>
      </c>
      <c r="B14" s="9" t="s">
        <v>208</v>
      </c>
      <c r="C14" s="113" t="s">
        <v>309</v>
      </c>
      <c r="D14" s="134" t="s">
        <v>40</v>
      </c>
      <c r="E14" s="63" t="s">
        <v>24</v>
      </c>
      <c r="F14" s="135" t="str">
        <f t="shared" si="1"/>
        <v>Industrial avícolaSangre</v>
      </c>
      <c r="G14" s="279">
        <f>0.006*1000</f>
        <v>6</v>
      </c>
      <c r="H14" s="137" t="s">
        <v>200</v>
      </c>
      <c r="I14" s="138">
        <v>365</v>
      </c>
      <c r="J14" s="259">
        <f>(G14/1000)/(K14/100)</f>
        <v>3.7499999999999999E-2</v>
      </c>
      <c r="K14" s="136">
        <v>16</v>
      </c>
      <c r="L14" s="139">
        <v>94</v>
      </c>
      <c r="M14" s="140">
        <v>500</v>
      </c>
      <c r="N14" s="141"/>
      <c r="O14" s="141"/>
      <c r="P14" s="139"/>
      <c r="Q14" s="141">
        <v>43.7</v>
      </c>
      <c r="R14" s="141">
        <v>12</v>
      </c>
      <c r="S14" s="141">
        <v>0.62</v>
      </c>
      <c r="T14" s="141">
        <v>1.25</v>
      </c>
      <c r="U14" s="141">
        <v>0.08</v>
      </c>
      <c r="V14" s="142">
        <f>Q14/R14</f>
        <v>3.6416666666666671</v>
      </c>
      <c r="W14" s="139">
        <v>1.1000000000000001</v>
      </c>
      <c r="X14" s="8" t="s">
        <v>233</v>
      </c>
      <c r="Y14" t="s">
        <v>105</v>
      </c>
      <c r="Z14" s="23">
        <v>1.8540000000000001</v>
      </c>
      <c r="AA14" t="s">
        <v>106</v>
      </c>
    </row>
    <row r="15" spans="1:161" x14ac:dyDescent="0.25">
      <c r="A15" s="11" t="s">
        <v>39</v>
      </c>
      <c r="B15" s="11" t="s">
        <v>207</v>
      </c>
      <c r="C15" s="113" t="s">
        <v>310</v>
      </c>
      <c r="D15" s="124" t="s">
        <v>40</v>
      </c>
      <c r="E15" s="1" t="s">
        <v>27</v>
      </c>
      <c r="F15" s="125" t="str">
        <f t="shared" si="1"/>
        <v>Industrial avícolaPlumas</v>
      </c>
      <c r="G15" s="280">
        <f>0.03*1000</f>
        <v>30</v>
      </c>
      <c r="H15" s="143" t="s">
        <v>200</v>
      </c>
      <c r="I15" s="126">
        <v>365</v>
      </c>
      <c r="J15" s="260">
        <f>(G15/1000)/(K15/100)</f>
        <v>0.10714285714285712</v>
      </c>
      <c r="K15" s="128">
        <v>28</v>
      </c>
      <c r="L15" s="129">
        <v>98</v>
      </c>
      <c r="M15" s="130"/>
      <c r="N15" s="133">
        <f>20080/4.18</f>
        <v>4803.8277511961724</v>
      </c>
      <c r="O15" s="133">
        <f>21600/4.18</f>
        <v>5167.4641148325363</v>
      </c>
      <c r="P15" s="129">
        <v>1.2</v>
      </c>
      <c r="Q15" s="131">
        <v>42.5</v>
      </c>
      <c r="R15" s="131">
        <v>11.8</v>
      </c>
      <c r="S15" s="131">
        <v>0.14000000000000001</v>
      </c>
      <c r="T15" s="131">
        <v>0.19</v>
      </c>
      <c r="U15" s="131">
        <v>0.2</v>
      </c>
      <c r="V15" s="133">
        <f>Q15/R15</f>
        <v>3.601694915254237</v>
      </c>
      <c r="W15" s="129">
        <v>0.5</v>
      </c>
      <c r="X15" s="8" t="s">
        <v>232</v>
      </c>
      <c r="Y15" t="s">
        <v>104</v>
      </c>
      <c r="Z15" s="23">
        <v>4.0789999999999997</v>
      </c>
      <c r="AA15" s="23" t="s">
        <v>106</v>
      </c>
    </row>
    <row r="16" spans="1:161" x14ac:dyDescent="0.25">
      <c r="D16" s="144" t="s">
        <v>40</v>
      </c>
      <c r="E16" s="64" t="s">
        <v>16</v>
      </c>
      <c r="F16" s="145" t="str">
        <f t="shared" si="1"/>
        <v xml:space="preserve">Industrial avícolaBarros grasos </v>
      </c>
      <c r="G16" s="249">
        <f>0.0045*1000</f>
        <v>4.5</v>
      </c>
      <c r="H16" s="147" t="s">
        <v>200</v>
      </c>
      <c r="I16" s="148">
        <v>365</v>
      </c>
      <c r="J16" s="261">
        <f>(G16/1000)/(K16/100)</f>
        <v>1.4999999999999999E-2</v>
      </c>
      <c r="K16" s="146">
        <v>30</v>
      </c>
      <c r="L16" s="149">
        <v>95</v>
      </c>
      <c r="M16" s="150">
        <v>800</v>
      </c>
      <c r="N16" s="151"/>
      <c r="O16" s="151"/>
      <c r="P16" s="149"/>
      <c r="Q16" s="151"/>
      <c r="R16" s="151"/>
      <c r="S16" s="151"/>
      <c r="T16" s="151"/>
      <c r="U16" s="151"/>
      <c r="V16" s="152"/>
      <c r="W16" s="149"/>
      <c r="X16" s="8" t="s">
        <v>233</v>
      </c>
      <c r="Y16" t="s">
        <v>103</v>
      </c>
      <c r="Z16" s="23">
        <v>9.2789999999999999</v>
      </c>
      <c r="AA16" s="23" t="s">
        <v>106</v>
      </c>
    </row>
    <row r="17" spans="1:29" x14ac:dyDescent="0.25">
      <c r="D17" s="134" t="s">
        <v>9</v>
      </c>
      <c r="E17" s="63" t="s">
        <v>22</v>
      </c>
      <c r="F17" s="135" t="str">
        <f t="shared" si="1"/>
        <v>FrigoríficosSólidos de aguas rojas</v>
      </c>
      <c r="G17" s="275"/>
      <c r="H17" s="143" t="s">
        <v>69</v>
      </c>
      <c r="I17" s="138">
        <v>365</v>
      </c>
      <c r="J17" s="257"/>
      <c r="K17" s="136">
        <v>26</v>
      </c>
      <c r="L17" s="139">
        <v>97</v>
      </c>
      <c r="M17" s="140">
        <v>490</v>
      </c>
      <c r="N17" s="141"/>
      <c r="O17" s="141"/>
      <c r="P17" s="139"/>
      <c r="Q17" s="141">
        <v>49</v>
      </c>
      <c r="R17" s="141">
        <v>5.2</v>
      </c>
      <c r="S17" s="141">
        <v>0.21</v>
      </c>
      <c r="T17" s="141">
        <v>7.0000000000000007E-2</v>
      </c>
      <c r="U17" s="141">
        <v>0.28000000000000003</v>
      </c>
      <c r="V17" s="142">
        <f>Q17/R17</f>
        <v>9.4230769230769234</v>
      </c>
      <c r="W17" s="139">
        <v>0.88</v>
      </c>
      <c r="X17" s="8" t="s">
        <v>232</v>
      </c>
    </row>
    <row r="18" spans="1:29" x14ac:dyDescent="0.25">
      <c r="D18" s="124" t="s">
        <v>9</v>
      </c>
      <c r="E18" s="1" t="s">
        <v>23</v>
      </c>
      <c r="F18" s="125" t="str">
        <f t="shared" si="1"/>
        <v>FrigoríficosRúmen y estiércol</v>
      </c>
      <c r="G18" s="276">
        <v>6.5</v>
      </c>
      <c r="H18" s="143" t="s">
        <v>134</v>
      </c>
      <c r="I18" s="126">
        <v>365</v>
      </c>
      <c r="J18" s="173">
        <f>(G18/1000)/(K18/100)</f>
        <v>2.3214285714285712E-2</v>
      </c>
      <c r="K18" s="128">
        <v>28</v>
      </c>
      <c r="L18" s="129">
        <v>92</v>
      </c>
      <c r="M18" s="130">
        <v>540</v>
      </c>
      <c r="N18" s="273">
        <f>18000/4.18</f>
        <v>4306.2200956937804</v>
      </c>
      <c r="O18" s="133">
        <f>19400/4.18</f>
        <v>4641.1483253588522</v>
      </c>
      <c r="P18" s="129">
        <v>6.9</v>
      </c>
      <c r="Q18" s="131">
        <v>48.3</v>
      </c>
      <c r="R18" s="131">
        <v>1.89</v>
      </c>
      <c r="S18" s="131">
        <v>0.32</v>
      </c>
      <c r="T18" s="131">
        <v>0.1</v>
      </c>
      <c r="U18" s="131">
        <v>0.53</v>
      </c>
      <c r="V18" s="133">
        <f>+Q18/R18</f>
        <v>25.555555555555557</v>
      </c>
      <c r="W18" s="129">
        <v>0.49</v>
      </c>
      <c r="X18" s="8" t="s">
        <v>232</v>
      </c>
      <c r="Y18" s="27" t="s">
        <v>117</v>
      </c>
      <c r="Z18" s="27"/>
      <c r="AA18" s="27"/>
    </row>
    <row r="19" spans="1:29" x14ac:dyDescent="0.25">
      <c r="D19" s="124" t="s">
        <v>9</v>
      </c>
      <c r="E19" s="1" t="s">
        <v>15</v>
      </c>
      <c r="F19" s="125" t="str">
        <f t="shared" si="1"/>
        <v>FrigoríficosLodos PTE</v>
      </c>
      <c r="G19" s="276"/>
      <c r="H19" s="143" t="s">
        <v>69</v>
      </c>
      <c r="I19" s="126">
        <v>365</v>
      </c>
      <c r="J19" s="262"/>
      <c r="K19" s="128"/>
      <c r="L19" s="129"/>
      <c r="M19" s="130"/>
      <c r="N19" s="131"/>
      <c r="O19" s="131"/>
      <c r="P19" s="129"/>
      <c r="Q19" s="131"/>
      <c r="R19" s="131"/>
      <c r="S19" s="131"/>
      <c r="T19" s="131"/>
      <c r="U19" s="131"/>
      <c r="V19" s="133"/>
      <c r="W19" s="129"/>
      <c r="X19" s="8" t="s">
        <v>233</v>
      </c>
      <c r="Y19" t="s">
        <v>100</v>
      </c>
      <c r="Z19" s="33">
        <v>10000</v>
      </c>
      <c r="AA19" s="23" t="s">
        <v>96</v>
      </c>
    </row>
    <row r="20" spans="1:29" x14ac:dyDescent="0.25">
      <c r="D20" s="124" t="s">
        <v>9</v>
      </c>
      <c r="E20" s="1" t="s">
        <v>16</v>
      </c>
      <c r="F20" s="125" t="str">
        <f t="shared" si="1"/>
        <v xml:space="preserve">FrigoríficosBarros grasos </v>
      </c>
      <c r="G20" s="276"/>
      <c r="H20" s="143" t="s">
        <v>69</v>
      </c>
      <c r="I20" s="126">
        <v>365</v>
      </c>
      <c r="J20" s="262"/>
      <c r="K20" s="128"/>
      <c r="L20" s="129"/>
      <c r="M20" s="130"/>
      <c r="N20" s="131"/>
      <c r="O20" s="131"/>
      <c r="P20" s="129"/>
      <c r="Q20" s="131"/>
      <c r="R20" s="131"/>
      <c r="S20" s="131"/>
      <c r="T20" s="131"/>
      <c r="U20" s="131"/>
      <c r="V20" s="133"/>
      <c r="W20" s="129"/>
      <c r="X20" s="8" t="s">
        <v>233</v>
      </c>
      <c r="Y20" t="s">
        <v>91</v>
      </c>
      <c r="Z20" s="22">
        <v>35000</v>
      </c>
      <c r="AA20" t="s">
        <v>96</v>
      </c>
    </row>
    <row r="21" spans="1:29" x14ac:dyDescent="0.25">
      <c r="D21" s="124" t="s">
        <v>9</v>
      </c>
      <c r="E21" s="1" t="s">
        <v>24</v>
      </c>
      <c r="F21" s="125" t="str">
        <f t="shared" si="1"/>
        <v>FrigoríficosSangre</v>
      </c>
      <c r="G21" s="276"/>
      <c r="H21" s="143"/>
      <c r="I21" s="126">
        <v>365</v>
      </c>
      <c r="J21" s="262"/>
      <c r="K21" s="128"/>
      <c r="L21" s="129"/>
      <c r="M21" s="130"/>
      <c r="N21" s="131"/>
      <c r="O21" s="131"/>
      <c r="P21" s="129"/>
      <c r="Q21" s="131"/>
      <c r="R21" s="131"/>
      <c r="S21" s="131"/>
      <c r="T21" s="131"/>
      <c r="U21" s="131"/>
      <c r="V21" s="133"/>
      <c r="W21" s="129"/>
      <c r="X21" s="8" t="s">
        <v>233</v>
      </c>
      <c r="Y21" t="s">
        <v>116</v>
      </c>
      <c r="Z21" s="36">
        <v>2.5000000000000001E-2</v>
      </c>
      <c r="AA21" t="s">
        <v>107</v>
      </c>
    </row>
    <row r="22" spans="1:29" x14ac:dyDescent="0.25">
      <c r="D22" s="153" t="s">
        <v>11</v>
      </c>
      <c r="E22" s="154" t="s">
        <v>25</v>
      </c>
      <c r="F22" s="155" t="str">
        <f t="shared" si="1"/>
        <v>Producción olivícolaAlperujo</v>
      </c>
      <c r="G22" s="281">
        <f>((0.9/0.1)*($K$22/100))*1000</f>
        <v>2699.9999999999995</v>
      </c>
      <c r="H22" s="165" t="s">
        <v>199</v>
      </c>
      <c r="I22" s="166">
        <f>4*30</f>
        <v>120</v>
      </c>
      <c r="J22" s="159">
        <f>(G22/1000)/(K22/100)</f>
        <v>9</v>
      </c>
      <c r="K22" s="160">
        <v>30</v>
      </c>
      <c r="L22" s="161">
        <v>96</v>
      </c>
      <c r="M22" s="162">
        <v>250</v>
      </c>
      <c r="N22" s="163"/>
      <c r="O22" s="163"/>
      <c r="P22" s="161"/>
      <c r="Q22" s="163">
        <v>50.4</v>
      </c>
      <c r="R22" s="163">
        <v>1.18</v>
      </c>
      <c r="S22" s="163">
        <v>0.14000000000000001</v>
      </c>
      <c r="T22" s="163">
        <v>1.5</v>
      </c>
      <c r="U22" s="163">
        <v>0.13</v>
      </c>
      <c r="V22" s="164">
        <f>Q22/R22</f>
        <v>42.711864406779661</v>
      </c>
      <c r="W22" s="161">
        <v>1</v>
      </c>
      <c r="X22" s="8" t="s">
        <v>233</v>
      </c>
    </row>
    <row r="23" spans="1:29" x14ac:dyDescent="0.25">
      <c r="D23" s="124" t="s">
        <v>12</v>
      </c>
      <c r="E23" s="1" t="s">
        <v>26</v>
      </c>
      <c r="F23" s="125" t="str">
        <f t="shared" si="1"/>
        <v>CurtiembresPelos</v>
      </c>
      <c r="G23" s="276">
        <f>2.7/1000</f>
        <v>2.7000000000000001E-3</v>
      </c>
      <c r="H23" s="143" t="s">
        <v>70</v>
      </c>
      <c r="I23" s="126">
        <v>365</v>
      </c>
      <c r="J23" s="262">
        <f>+G23</f>
        <v>2.7000000000000001E-3</v>
      </c>
      <c r="K23" s="128">
        <v>30</v>
      </c>
      <c r="L23" s="129">
        <v>85</v>
      </c>
      <c r="M23" s="130"/>
      <c r="N23" s="131"/>
      <c r="O23" s="131"/>
      <c r="P23" s="129"/>
      <c r="Q23" s="131">
        <v>41</v>
      </c>
      <c r="R23" s="131">
        <v>9.5</v>
      </c>
      <c r="S23" s="131">
        <v>0.04</v>
      </c>
      <c r="T23" s="131">
        <v>7.0000000000000007E-2</v>
      </c>
      <c r="U23" s="131">
        <v>5.0999999999999996</v>
      </c>
      <c r="V23" s="133">
        <f>Q23/R23</f>
        <v>4.3157894736842106</v>
      </c>
      <c r="W23" s="129">
        <v>0.6</v>
      </c>
      <c r="X23" s="8" t="s">
        <v>232</v>
      </c>
      <c r="Y23" t="s">
        <v>118</v>
      </c>
    </row>
    <row r="24" spans="1:29" x14ac:dyDescent="0.25">
      <c r="D24" s="124" t="s">
        <v>12</v>
      </c>
      <c r="E24" s="1" t="s">
        <v>138</v>
      </c>
      <c r="F24" s="125" t="str">
        <f t="shared" si="1"/>
        <v xml:space="preserve">CurtiembresRecortes y virutas </v>
      </c>
      <c r="G24" s="276">
        <f>5.5/1000</f>
        <v>5.4999999999999997E-3</v>
      </c>
      <c r="H24" s="143" t="s">
        <v>70</v>
      </c>
      <c r="I24" s="126">
        <v>365</v>
      </c>
      <c r="J24" s="262">
        <f>+G24</f>
        <v>5.4999999999999997E-3</v>
      </c>
      <c r="K24" s="128">
        <v>50</v>
      </c>
      <c r="L24" s="129"/>
      <c r="M24" s="130"/>
      <c r="N24" s="133">
        <f>17000/4.18</f>
        <v>4066.9856459330144</v>
      </c>
      <c r="O24" s="133">
        <f>18500/4.18</f>
        <v>4425.8373205741627</v>
      </c>
      <c r="P24" s="167">
        <v>5</v>
      </c>
      <c r="Q24" s="131"/>
      <c r="R24" s="131"/>
      <c r="S24" s="131"/>
      <c r="T24" s="131"/>
      <c r="U24" s="131"/>
      <c r="V24" s="133"/>
      <c r="W24" s="129"/>
      <c r="X24" s="8" t="s">
        <v>232</v>
      </c>
      <c r="Y24" t="s">
        <v>92</v>
      </c>
      <c r="Z24" s="22">
        <v>3000</v>
      </c>
      <c r="AA24" t="s">
        <v>94</v>
      </c>
    </row>
    <row r="25" spans="1:29" x14ac:dyDescent="0.25">
      <c r="D25" s="124" t="s">
        <v>12</v>
      </c>
      <c r="E25" s="64" t="s">
        <v>15</v>
      </c>
      <c r="F25" s="145" t="str">
        <f t="shared" si="1"/>
        <v>CurtiembresLodos PTE</v>
      </c>
      <c r="G25" s="249">
        <f>12/1000</f>
        <v>1.2E-2</v>
      </c>
      <c r="H25" s="147" t="s">
        <v>70</v>
      </c>
      <c r="I25" s="148">
        <v>365</v>
      </c>
      <c r="J25" s="262"/>
      <c r="K25" s="146"/>
      <c r="L25" s="149"/>
      <c r="M25" s="150"/>
      <c r="N25" s="151"/>
      <c r="O25" s="151"/>
      <c r="P25" s="149"/>
      <c r="Q25" s="151"/>
      <c r="R25" s="151"/>
      <c r="S25" s="151"/>
      <c r="T25" s="151"/>
      <c r="U25" s="151"/>
      <c r="V25" s="152"/>
      <c r="W25" s="149"/>
      <c r="X25" s="8" t="s">
        <v>233</v>
      </c>
      <c r="Y25" t="s">
        <v>93</v>
      </c>
      <c r="Z25" s="22">
        <v>20000</v>
      </c>
      <c r="AA25" t="s">
        <v>94</v>
      </c>
    </row>
    <row r="26" spans="1:29" x14ac:dyDescent="0.25">
      <c r="D26" s="134" t="s">
        <v>39</v>
      </c>
      <c r="E26" s="63" t="s">
        <v>28</v>
      </c>
      <c r="F26" s="135" t="str">
        <f t="shared" si="1"/>
        <v>Bodegas y sidreríasEscobajos</v>
      </c>
      <c r="G26" s="275">
        <f>0.07*1000</f>
        <v>70</v>
      </c>
      <c r="H26" s="137" t="s">
        <v>201</v>
      </c>
      <c r="I26" s="168">
        <v>100</v>
      </c>
      <c r="J26" s="169">
        <f>(G26/1000)/(K26/100)</f>
        <v>0.24137931034482762</v>
      </c>
      <c r="K26" s="141">
        <v>29</v>
      </c>
      <c r="L26" s="139">
        <v>92</v>
      </c>
      <c r="M26" s="140"/>
      <c r="N26" s="142">
        <f>16400/4.18</f>
        <v>3923.4449760765551</v>
      </c>
      <c r="O26" s="142">
        <f>17600/4.18</f>
        <v>4210.5263157894742</v>
      </c>
      <c r="P26" s="170">
        <v>8</v>
      </c>
      <c r="Q26" s="141">
        <v>42</v>
      </c>
      <c r="R26" s="141">
        <v>1.1200000000000001</v>
      </c>
      <c r="S26" s="141">
        <v>0.22</v>
      </c>
      <c r="T26" s="141">
        <v>2.4900000000000002</v>
      </c>
      <c r="U26" s="141">
        <v>0.94</v>
      </c>
      <c r="V26" s="142">
        <f>Q26/R26</f>
        <v>37.499999999999993</v>
      </c>
      <c r="W26" s="139"/>
      <c r="X26" s="8" t="s">
        <v>232</v>
      </c>
      <c r="Y26" s="23" t="s">
        <v>116</v>
      </c>
      <c r="Z26" s="36">
        <v>2.5000000000000001E-2</v>
      </c>
      <c r="AA26" s="23" t="s">
        <v>107</v>
      </c>
    </row>
    <row r="27" spans="1:29" x14ac:dyDescent="0.25">
      <c r="D27" s="144" t="s">
        <v>39</v>
      </c>
      <c r="E27" s="64" t="s">
        <v>29</v>
      </c>
      <c r="F27" s="145" t="str">
        <f t="shared" si="1"/>
        <v>Bodegas y sidreríasOrujo</v>
      </c>
      <c r="G27" s="249">
        <f>0.15*1000</f>
        <v>150</v>
      </c>
      <c r="H27" s="147" t="s">
        <v>201</v>
      </c>
      <c r="I27" s="171">
        <v>100</v>
      </c>
      <c r="J27" s="172">
        <f>(G27/1000)/(K27/100)</f>
        <v>0.3</v>
      </c>
      <c r="K27" s="151">
        <v>50</v>
      </c>
      <c r="L27" s="149">
        <v>94</v>
      </c>
      <c r="M27" s="150">
        <v>283</v>
      </c>
      <c r="N27" s="151"/>
      <c r="O27" s="151"/>
      <c r="P27" s="149"/>
      <c r="Q27" s="151">
        <v>39.4</v>
      </c>
      <c r="R27" s="151">
        <v>1.84</v>
      </c>
      <c r="S27" s="151">
        <v>0.25</v>
      </c>
      <c r="T27" s="151">
        <v>1.92</v>
      </c>
      <c r="U27" s="151">
        <v>0.5</v>
      </c>
      <c r="V27" s="152">
        <f>Q27/R27</f>
        <v>21.413043478260867</v>
      </c>
      <c r="W27" s="149"/>
      <c r="X27" s="8" t="s">
        <v>232</v>
      </c>
      <c r="Y27" s="23"/>
      <c r="Z27" s="23"/>
      <c r="AA27" s="23"/>
    </row>
    <row r="28" spans="1:29" x14ac:dyDescent="0.25">
      <c r="O28" s="53"/>
      <c r="P28" s="47"/>
      <c r="Q28" s="47"/>
      <c r="R28" s="47"/>
      <c r="S28" s="47"/>
      <c r="T28" s="47"/>
      <c r="U28" s="48"/>
      <c r="Y28" s="23"/>
      <c r="Z28" s="23"/>
      <c r="AA28" s="23"/>
    </row>
    <row r="29" spans="1:29" x14ac:dyDescent="0.25">
      <c r="A29" s="28"/>
      <c r="O29" s="54"/>
      <c r="P29" s="55"/>
      <c r="Q29" s="47"/>
      <c r="R29" s="47"/>
      <c r="S29" s="47"/>
      <c r="T29" s="47"/>
      <c r="U29" s="48"/>
      <c r="Y29" s="23"/>
      <c r="Z29" s="23"/>
      <c r="AA29" s="23"/>
    </row>
    <row r="30" spans="1:29" x14ac:dyDescent="0.25">
      <c r="A30" s="30"/>
      <c r="O30" s="54"/>
      <c r="P30" s="47"/>
      <c r="Q30" s="51"/>
      <c r="R30" s="51"/>
      <c r="S30" s="47"/>
      <c r="T30" s="47"/>
      <c r="U30" s="48"/>
      <c r="Y30" s="23"/>
      <c r="Z30" s="23"/>
      <c r="AA30" s="23"/>
    </row>
    <row r="31" spans="1:29" x14ac:dyDescent="0.25">
      <c r="A31" s="28"/>
      <c r="O31" s="54"/>
      <c r="P31" s="47"/>
      <c r="Q31" s="51"/>
      <c r="R31" s="51"/>
      <c r="S31" s="47"/>
      <c r="T31" s="47"/>
      <c r="U31" s="48"/>
    </row>
    <row r="32" spans="1:29" x14ac:dyDescent="0.25">
      <c r="O32" s="54"/>
      <c r="P32" s="47"/>
      <c r="Q32" s="32"/>
      <c r="R32" s="48"/>
      <c r="S32" s="47"/>
      <c r="T32" s="47"/>
      <c r="U32" s="48"/>
      <c r="Y32" s="2" t="s">
        <v>62</v>
      </c>
      <c r="AC32" s="60"/>
    </row>
    <row r="33" spans="1:29" x14ac:dyDescent="0.25">
      <c r="O33" s="56"/>
      <c r="P33" s="48"/>
      <c r="Q33" s="48"/>
      <c r="R33" s="48"/>
      <c r="S33" s="47"/>
      <c r="T33" s="47"/>
      <c r="U33" s="48"/>
      <c r="X33" s="23"/>
      <c r="Y33" s="28" t="s">
        <v>64</v>
      </c>
      <c r="Z33" s="366">
        <v>35</v>
      </c>
      <c r="AA33" s="28" t="s">
        <v>54</v>
      </c>
      <c r="AB33" s="28"/>
      <c r="AC33" s="65"/>
    </row>
    <row r="34" spans="1:29" x14ac:dyDescent="0.25">
      <c r="A34" s="24"/>
      <c r="O34" s="48"/>
      <c r="P34" s="48"/>
      <c r="Q34" s="57"/>
      <c r="R34" s="48"/>
      <c r="S34" s="47"/>
      <c r="T34" s="47"/>
      <c r="U34" s="48"/>
      <c r="Y34" s="28" t="s">
        <v>162</v>
      </c>
      <c r="Z34" s="365">
        <v>0.78</v>
      </c>
      <c r="AA34" s="28" t="s">
        <v>98</v>
      </c>
      <c r="AB34" s="28"/>
      <c r="AC34" s="28"/>
    </row>
    <row r="35" spans="1:29" x14ac:dyDescent="0.25">
      <c r="A35" s="34"/>
      <c r="O35" s="48"/>
      <c r="P35" s="47"/>
      <c r="Q35" s="58"/>
      <c r="R35" s="48"/>
      <c r="S35" s="47"/>
      <c r="T35" s="47"/>
      <c r="U35" s="48"/>
      <c r="X35" s="23"/>
      <c r="Y35" s="28" t="s">
        <v>163</v>
      </c>
      <c r="Z35" s="365">
        <v>33.44</v>
      </c>
      <c r="AA35" s="28" t="s">
        <v>54</v>
      </c>
      <c r="AB35" s="28"/>
      <c r="AC35" s="28"/>
    </row>
    <row r="36" spans="1:29" x14ac:dyDescent="0.25">
      <c r="O36" s="48"/>
      <c r="P36" s="21"/>
      <c r="Q36" s="58"/>
      <c r="R36" s="48"/>
      <c r="S36" s="47"/>
      <c r="T36" s="47"/>
      <c r="U36" s="48"/>
      <c r="X36" s="23"/>
      <c r="Y36" s="28" t="s">
        <v>178</v>
      </c>
      <c r="Z36" s="363">
        <v>13.96</v>
      </c>
      <c r="AA36" s="28"/>
      <c r="AB36" s="28"/>
      <c r="AC36" s="28"/>
    </row>
    <row r="37" spans="1:29" x14ac:dyDescent="0.25">
      <c r="O37" s="48"/>
      <c r="P37" s="21"/>
      <c r="Q37" s="59"/>
      <c r="R37" s="48"/>
      <c r="S37" s="47"/>
      <c r="T37" s="47"/>
      <c r="U37" s="48"/>
      <c r="X37" s="23"/>
      <c r="Y37" s="28" t="s">
        <v>164</v>
      </c>
      <c r="Z37" s="365">
        <v>1.42</v>
      </c>
      <c r="AA37" s="28" t="s">
        <v>54</v>
      </c>
      <c r="AB37" s="28"/>
      <c r="AC37" s="28"/>
    </row>
    <row r="38" spans="1:29" x14ac:dyDescent="0.25">
      <c r="O38" s="48"/>
      <c r="P38" s="21"/>
      <c r="Q38" s="59"/>
      <c r="R38" s="48"/>
      <c r="S38" s="47"/>
      <c r="T38" s="47"/>
      <c r="U38" s="48"/>
      <c r="X38" s="23"/>
      <c r="Y38" s="28" t="s">
        <v>180</v>
      </c>
      <c r="Z38" s="348">
        <v>1.2050000000000001</v>
      </c>
      <c r="AA38" s="28" t="s">
        <v>54</v>
      </c>
      <c r="AB38" s="28"/>
      <c r="AC38" s="28"/>
    </row>
    <row r="39" spans="1:29" x14ac:dyDescent="0.25">
      <c r="O39" s="54"/>
      <c r="P39" s="47"/>
      <c r="Q39" s="47"/>
      <c r="R39" s="47"/>
      <c r="S39" s="47"/>
      <c r="T39" s="47"/>
      <c r="U39" s="48"/>
      <c r="X39" s="23"/>
      <c r="Y39" s="28" t="s">
        <v>179</v>
      </c>
      <c r="Z39" s="348">
        <v>0.34799999999999998</v>
      </c>
      <c r="AA39" s="28" t="s">
        <v>54</v>
      </c>
      <c r="AB39" s="28"/>
      <c r="AC39" s="28"/>
    </row>
    <row r="40" spans="1:29" x14ac:dyDescent="0.25">
      <c r="O40" s="54"/>
      <c r="P40" s="47"/>
      <c r="Q40" s="47"/>
      <c r="R40" s="48"/>
      <c r="S40" s="49"/>
      <c r="T40" s="50"/>
      <c r="U40" s="48"/>
      <c r="X40" s="23"/>
      <c r="Y40" s="28" t="s">
        <v>184</v>
      </c>
      <c r="Z40" s="366">
        <v>30</v>
      </c>
      <c r="AA40" s="28"/>
      <c r="AB40" s="28"/>
      <c r="AC40" s="65"/>
    </row>
    <row r="41" spans="1:29" x14ac:dyDescent="0.25">
      <c r="O41" s="54"/>
      <c r="P41" s="47"/>
      <c r="Q41" s="51"/>
      <c r="R41" s="49"/>
      <c r="S41" s="49"/>
      <c r="T41" s="52"/>
      <c r="U41" s="48"/>
      <c r="X41" s="23"/>
      <c r="Y41" s="28" t="s">
        <v>137</v>
      </c>
      <c r="Z41" s="367">
        <v>55</v>
      </c>
      <c r="AA41" s="28" t="s">
        <v>54</v>
      </c>
      <c r="AB41" s="28"/>
      <c r="AC41" s="28"/>
    </row>
    <row r="42" spans="1:29" x14ac:dyDescent="0.25">
      <c r="O42" s="48"/>
      <c r="P42" s="48"/>
      <c r="Q42" s="48"/>
      <c r="R42" s="48"/>
      <c r="S42" s="48"/>
      <c r="T42" s="48"/>
      <c r="U42" s="48"/>
      <c r="Y42" s="28" t="s">
        <v>63</v>
      </c>
      <c r="Z42" s="366">
        <v>55</v>
      </c>
      <c r="AA42" s="28" t="s">
        <v>54</v>
      </c>
      <c r="AB42" s="28"/>
      <c r="AC42" s="28"/>
    </row>
    <row r="43" spans="1:29" x14ac:dyDescent="0.25">
      <c r="X43" s="23"/>
      <c r="Y43" s="28" t="s">
        <v>136</v>
      </c>
      <c r="Z43" s="364">
        <v>127</v>
      </c>
      <c r="AA43" s="28"/>
      <c r="AB43" s="360"/>
      <c r="AC43" s="28"/>
    </row>
    <row r="44" spans="1:29" s="23" customFormat="1" x14ac:dyDescent="0.25">
      <c r="I44" s="176"/>
      <c r="Y44" s="8" t="s">
        <v>229</v>
      </c>
      <c r="Z44" s="370">
        <v>50.8</v>
      </c>
      <c r="AA44" s="8" t="s">
        <v>54</v>
      </c>
      <c r="AB44" s="8"/>
      <c r="AC44" s="28"/>
    </row>
    <row r="45" spans="1:29" s="23" customFormat="1" x14ac:dyDescent="0.25">
      <c r="I45" s="176"/>
      <c r="Y45" s="8" t="s">
        <v>230</v>
      </c>
      <c r="Z45" s="370">
        <v>0.4</v>
      </c>
      <c r="AA45" s="8" t="s">
        <v>54</v>
      </c>
      <c r="AB45" s="8"/>
      <c r="AC45" s="28"/>
    </row>
    <row r="46" spans="1:29" x14ac:dyDescent="0.25">
      <c r="X46" s="23"/>
      <c r="Y46" s="8" t="s">
        <v>177</v>
      </c>
      <c r="Z46" s="371">
        <v>0.113</v>
      </c>
      <c r="AA46" s="8" t="s">
        <v>98</v>
      </c>
      <c r="AB46" s="8"/>
      <c r="AC46" s="28"/>
    </row>
    <row r="47" spans="1:29" s="23" customFormat="1" x14ac:dyDescent="0.25">
      <c r="I47" s="248"/>
      <c r="Y47" s="8" t="s">
        <v>279</v>
      </c>
      <c r="Z47" s="372">
        <v>0.65</v>
      </c>
      <c r="AA47" s="8" t="s">
        <v>98</v>
      </c>
      <c r="AB47" s="8"/>
      <c r="AC47" s="28"/>
    </row>
    <row r="48" spans="1:29" x14ac:dyDescent="0.25">
      <c r="B48" s="28"/>
      <c r="Y48" s="373"/>
      <c r="Z48" s="374"/>
      <c r="AA48" s="373"/>
      <c r="AB48" s="8"/>
      <c r="AC48" s="28"/>
    </row>
    <row r="49" spans="2:38" x14ac:dyDescent="0.25">
      <c r="B49" s="30"/>
      <c r="X49" s="23"/>
      <c r="Y49" s="375" t="s">
        <v>166</v>
      </c>
      <c r="Z49" s="376">
        <v>15000</v>
      </c>
      <c r="AA49" s="373" t="s">
        <v>95</v>
      </c>
      <c r="AB49" s="8"/>
      <c r="AC49" s="28"/>
    </row>
    <row r="50" spans="2:38" x14ac:dyDescent="0.25">
      <c r="B50" s="28"/>
      <c r="X50" s="23"/>
      <c r="Y50" s="8" t="s">
        <v>169</v>
      </c>
      <c r="Z50" s="377">
        <v>16</v>
      </c>
      <c r="AA50" s="455" t="s">
        <v>188</v>
      </c>
      <c r="AB50" s="8"/>
      <c r="AC50" s="28"/>
    </row>
    <row r="51" spans="2:38" x14ac:dyDescent="0.25">
      <c r="X51" s="23"/>
      <c r="Y51" s="8" t="s">
        <v>170</v>
      </c>
      <c r="Z51" s="377">
        <v>2</v>
      </c>
      <c r="AA51" s="378" t="s">
        <v>171</v>
      </c>
      <c r="AB51" s="8"/>
      <c r="AC51" s="28"/>
    </row>
    <row r="52" spans="2:38" x14ac:dyDescent="0.25">
      <c r="Y52" s="8"/>
      <c r="Z52" s="379"/>
      <c r="AB52" s="8"/>
      <c r="AC52" s="28"/>
    </row>
    <row r="53" spans="2:38" x14ac:dyDescent="0.25">
      <c r="B53" s="24"/>
      <c r="Y53" s="375" t="s">
        <v>234</v>
      </c>
      <c r="Z53" s="380">
        <v>0.66700000000000004</v>
      </c>
      <c r="AA53" s="373" t="s">
        <v>168</v>
      </c>
      <c r="AB53" s="8"/>
      <c r="AC53" s="28"/>
    </row>
    <row r="54" spans="2:38" x14ac:dyDescent="0.25">
      <c r="B54" s="24"/>
      <c r="Y54" s="375" t="s">
        <v>174</v>
      </c>
      <c r="Z54" s="380">
        <v>0.92300000000000004</v>
      </c>
      <c r="AA54" s="373" t="s">
        <v>168</v>
      </c>
      <c r="AB54" s="8"/>
      <c r="AC54" s="28"/>
    </row>
    <row r="55" spans="2:38" x14ac:dyDescent="0.25">
      <c r="Y55" s="381" t="s">
        <v>173</v>
      </c>
      <c r="Z55" s="371">
        <v>1.016</v>
      </c>
      <c r="AA55" s="378" t="s">
        <v>172</v>
      </c>
      <c r="AB55" s="8"/>
      <c r="AC55" s="28"/>
    </row>
    <row r="56" spans="2:38" x14ac:dyDescent="0.25">
      <c r="C56" s="24"/>
      <c r="X56" s="23"/>
      <c r="Y56" s="382" t="s">
        <v>190</v>
      </c>
      <c r="Z56" s="370">
        <v>4</v>
      </c>
      <c r="AA56" s="378" t="s">
        <v>176</v>
      </c>
      <c r="AB56" s="8"/>
      <c r="AC56" s="28"/>
    </row>
    <row r="57" spans="2:38" x14ac:dyDescent="0.25">
      <c r="C57" s="35"/>
      <c r="Y57" s="375" t="s">
        <v>165</v>
      </c>
      <c r="Z57" s="383">
        <v>2.14</v>
      </c>
      <c r="AA57" s="373" t="s">
        <v>167</v>
      </c>
      <c r="AB57" s="8"/>
      <c r="AC57" s="28"/>
      <c r="AL57" s="23"/>
    </row>
    <row r="58" spans="2:38" x14ac:dyDescent="0.25">
      <c r="Y58" s="8" t="s">
        <v>235</v>
      </c>
      <c r="Z58" s="384">
        <v>359</v>
      </c>
      <c r="AA58" s="373" t="s">
        <v>236</v>
      </c>
      <c r="AB58" s="373"/>
      <c r="AC58" s="28"/>
      <c r="AL58" s="23"/>
    </row>
    <row r="59" spans="2:38" s="23" customFormat="1" x14ac:dyDescent="0.25">
      <c r="I59" s="178"/>
      <c r="Y59" s="8" t="s">
        <v>237</v>
      </c>
      <c r="Z59" s="384">
        <v>470</v>
      </c>
      <c r="AA59" s="373" t="s">
        <v>239</v>
      </c>
      <c r="AB59" s="373"/>
      <c r="AC59" s="28"/>
    </row>
    <row r="60" spans="2:38" s="23" customFormat="1" x14ac:dyDescent="0.25">
      <c r="I60" s="178"/>
      <c r="Y60" s="8" t="s">
        <v>238</v>
      </c>
      <c r="Z60" s="384">
        <v>460</v>
      </c>
      <c r="AA60" s="373" t="s">
        <v>240</v>
      </c>
      <c r="AB60" s="373"/>
      <c r="AC60" s="28"/>
    </row>
    <row r="61" spans="2:38" s="23" customFormat="1" x14ac:dyDescent="0.25">
      <c r="I61" s="177"/>
      <c r="Y61" s="28"/>
      <c r="Z61" s="28"/>
      <c r="AA61" s="28"/>
      <c r="AB61" s="67"/>
      <c r="AC61" s="28"/>
    </row>
    <row r="62" spans="2:38" x14ac:dyDescent="0.25">
      <c r="Y62" s="68" t="s">
        <v>175</v>
      </c>
      <c r="Z62" s="66">
        <v>1</v>
      </c>
      <c r="AA62" s="28"/>
      <c r="AB62" s="28"/>
      <c r="AC62" s="28"/>
      <c r="AL62" s="23"/>
    </row>
    <row r="63" spans="2:38" x14ac:dyDescent="0.25">
      <c r="Y63" s="23"/>
      <c r="AA63" s="23"/>
      <c r="AB63" s="23"/>
      <c r="AC63" s="23"/>
      <c r="AL63" s="23"/>
    </row>
    <row r="64" spans="2:38" x14ac:dyDescent="0.25">
      <c r="Y64" s="46"/>
      <c r="AA64" s="46"/>
      <c r="AB64" s="23"/>
      <c r="AC64" s="61"/>
      <c r="AL64" s="23"/>
    </row>
    <row r="65" spans="24:40" x14ac:dyDescent="0.25">
      <c r="Y65" s="395" t="s">
        <v>314</v>
      </c>
      <c r="Z65" s="396"/>
      <c r="AA65" s="397"/>
      <c r="AB65" s="398"/>
      <c r="AD65" s="409" t="s">
        <v>320</v>
      </c>
      <c r="AE65" s="399"/>
      <c r="AF65" s="24"/>
    </row>
    <row r="66" spans="24:40" x14ac:dyDescent="0.25">
      <c r="X66" s="24"/>
      <c r="Y66" s="395" t="s">
        <v>360</v>
      </c>
      <c r="Z66" s="396"/>
      <c r="AA66" s="397"/>
      <c r="AB66" s="398"/>
      <c r="AD66" s="410" t="s">
        <v>321</v>
      </c>
      <c r="AE66" s="410">
        <v>1</v>
      </c>
      <c r="AF66" s="24"/>
    </row>
    <row r="67" spans="24:40" x14ac:dyDescent="0.25">
      <c r="X67" s="24"/>
      <c r="Y67" s="399" t="s">
        <v>312</v>
      </c>
      <c r="Z67" s="400">
        <v>14</v>
      </c>
      <c r="AA67" s="399" t="s">
        <v>313</v>
      </c>
      <c r="AB67" s="399"/>
      <c r="AD67" s="410" t="s">
        <v>322</v>
      </c>
      <c r="AE67" s="410">
        <v>25</v>
      </c>
      <c r="AF67" s="24"/>
    </row>
    <row r="68" spans="24:40" x14ac:dyDescent="0.25">
      <c r="X68" s="24"/>
      <c r="Y68" s="399" t="s">
        <v>315</v>
      </c>
      <c r="Z68" s="401">
        <v>1326</v>
      </c>
      <c r="AA68" s="398" t="s">
        <v>316</v>
      </c>
      <c r="AB68" s="399"/>
      <c r="AD68" s="410" t="s">
        <v>323</v>
      </c>
      <c r="AE68" s="410">
        <v>298</v>
      </c>
      <c r="AF68" s="24"/>
    </row>
    <row r="69" spans="24:40" x14ac:dyDescent="0.25">
      <c r="X69" s="24"/>
      <c r="Y69" s="399" t="s">
        <v>317</v>
      </c>
      <c r="Z69" s="399">
        <v>0.5</v>
      </c>
      <c r="AA69" s="399" t="s">
        <v>54</v>
      </c>
      <c r="AB69" s="399"/>
      <c r="AD69" s="24"/>
      <c r="AE69" s="24"/>
      <c r="AF69" s="24"/>
    </row>
    <row r="70" spans="24:40" x14ac:dyDescent="0.25">
      <c r="X70" s="24"/>
      <c r="Y70" s="399" t="s">
        <v>319</v>
      </c>
      <c r="Z70" s="402">
        <v>7</v>
      </c>
      <c r="AA70" s="399" t="s">
        <v>54</v>
      </c>
      <c r="AB70" s="398"/>
    </row>
    <row r="71" spans="24:40" x14ac:dyDescent="0.25">
      <c r="X71" s="24"/>
      <c r="Y71" s="399" t="s">
        <v>361</v>
      </c>
      <c r="Z71" s="403">
        <v>0.01</v>
      </c>
      <c r="AA71" s="399" t="s">
        <v>318</v>
      </c>
      <c r="AB71" s="398"/>
    </row>
    <row r="72" spans="24:40" x14ac:dyDescent="0.25">
      <c r="X72" s="24"/>
      <c r="Y72" s="399" t="s">
        <v>362</v>
      </c>
      <c r="Z72" s="402">
        <v>10</v>
      </c>
      <c r="AA72" s="399" t="s">
        <v>54</v>
      </c>
      <c r="AB72" s="399"/>
    </row>
    <row r="73" spans="24:40" x14ac:dyDescent="0.25">
      <c r="X73" s="24"/>
      <c r="Y73" s="399" t="s">
        <v>363</v>
      </c>
      <c r="Z73" s="404">
        <v>7.4999999999999997E-3</v>
      </c>
      <c r="AA73" s="399" t="s">
        <v>318</v>
      </c>
      <c r="AB73" s="399"/>
    </row>
    <row r="74" spans="24:40" x14ac:dyDescent="0.25">
      <c r="Y74" s="409" t="s">
        <v>74</v>
      </c>
      <c r="Z74" s="398"/>
      <c r="AA74" s="398"/>
      <c r="AB74" s="398"/>
      <c r="AC74" s="23"/>
    </row>
    <row r="75" spans="24:40" x14ac:dyDescent="0.25">
      <c r="Y75" s="398" t="s">
        <v>142</v>
      </c>
      <c r="Z75" s="398">
        <v>0</v>
      </c>
      <c r="AA75" s="405" t="s">
        <v>316</v>
      </c>
      <c r="AB75" s="406"/>
      <c r="AC75" s="23"/>
      <c r="AM75" s="23"/>
    </row>
    <row r="76" spans="24:40" x14ac:dyDescent="0.25">
      <c r="Y76" s="398" t="s">
        <v>143</v>
      </c>
      <c r="Z76" s="407">
        <v>3120</v>
      </c>
      <c r="AA76" s="399" t="s">
        <v>326</v>
      </c>
      <c r="AB76" s="406"/>
    </row>
    <row r="77" spans="24:40" x14ac:dyDescent="0.25">
      <c r="Y77" s="405" t="s">
        <v>144</v>
      </c>
      <c r="Z77" s="408">
        <v>2670</v>
      </c>
      <c r="AA77" s="405" t="s">
        <v>326</v>
      </c>
      <c r="AB77" s="405"/>
      <c r="AL77" s="23"/>
      <c r="AN77" s="23"/>
    </row>
    <row r="78" spans="24:40" x14ac:dyDescent="0.25">
      <c r="Y78" s="395" t="s">
        <v>90</v>
      </c>
      <c r="Z78" s="408"/>
      <c r="AA78" s="405"/>
      <c r="AB78" s="405"/>
      <c r="AL78" s="23"/>
    </row>
    <row r="79" spans="24:40" x14ac:dyDescent="0.25">
      <c r="X79" s="24"/>
      <c r="Y79" s="399" t="s">
        <v>339</v>
      </c>
      <c r="Z79" s="399">
        <v>0.5</v>
      </c>
      <c r="AA79" s="399" t="s">
        <v>54</v>
      </c>
      <c r="AB79" s="399"/>
      <c r="AL79" s="23"/>
    </row>
    <row r="80" spans="24:40" x14ac:dyDescent="0.25">
      <c r="X80" s="24"/>
      <c r="Y80" s="399" t="s">
        <v>343</v>
      </c>
      <c r="Z80" s="399">
        <v>0.01</v>
      </c>
      <c r="AA80" s="399" t="s">
        <v>318</v>
      </c>
      <c r="AB80" s="399"/>
    </row>
    <row r="81" spans="24:47" x14ac:dyDescent="0.25">
      <c r="X81" s="24"/>
      <c r="Y81" s="399" t="s">
        <v>344</v>
      </c>
      <c r="Z81" s="402">
        <v>30</v>
      </c>
      <c r="AA81" s="399" t="s">
        <v>54</v>
      </c>
      <c r="AB81" s="399"/>
    </row>
    <row r="82" spans="24:47" x14ac:dyDescent="0.25">
      <c r="X82" s="24"/>
      <c r="Y82" s="399" t="s">
        <v>364</v>
      </c>
      <c r="Z82" s="403">
        <v>0.01</v>
      </c>
      <c r="AA82" s="399" t="s">
        <v>318</v>
      </c>
      <c r="AB82" s="399"/>
    </row>
    <row r="83" spans="24:47" x14ac:dyDescent="0.25">
      <c r="X83" s="24"/>
      <c r="Y83" s="399" t="s">
        <v>365</v>
      </c>
      <c r="Z83" s="402">
        <v>10</v>
      </c>
      <c r="AA83" s="399" t="s">
        <v>54</v>
      </c>
      <c r="AB83" s="399"/>
    </row>
    <row r="84" spans="24:47" x14ac:dyDescent="0.25">
      <c r="X84" s="24"/>
      <c r="Y84" s="399" t="s">
        <v>366</v>
      </c>
      <c r="Z84" s="404">
        <v>7.4999999999999997E-3</v>
      </c>
      <c r="AA84" s="399" t="s">
        <v>318</v>
      </c>
      <c r="AB84" s="399"/>
    </row>
    <row r="85" spans="24:47" x14ac:dyDescent="0.25">
      <c r="X85" s="24"/>
      <c r="Y85" s="399" t="s">
        <v>346</v>
      </c>
      <c r="Z85" s="399">
        <v>0.5</v>
      </c>
      <c r="AA85" s="399" t="s">
        <v>54</v>
      </c>
      <c r="AB85" s="399"/>
    </row>
    <row r="86" spans="24:47" x14ac:dyDescent="0.25">
      <c r="X86" s="24"/>
      <c r="Y86" s="405" t="s">
        <v>347</v>
      </c>
      <c r="Z86" s="408">
        <v>60</v>
      </c>
      <c r="AA86" s="405" t="s">
        <v>54</v>
      </c>
      <c r="AB86" s="398"/>
    </row>
    <row r="87" spans="24:47" x14ac:dyDescent="0.25">
      <c r="X87" s="24"/>
      <c r="Y87" s="399" t="s">
        <v>351</v>
      </c>
      <c r="Z87" s="402">
        <v>7</v>
      </c>
      <c r="AA87" s="399" t="s">
        <v>54</v>
      </c>
      <c r="AB87" s="399"/>
    </row>
    <row r="88" spans="24:47" x14ac:dyDescent="0.25">
      <c r="X88" s="24"/>
      <c r="Y88" s="399" t="s">
        <v>367</v>
      </c>
      <c r="Z88" s="403">
        <v>0.01</v>
      </c>
      <c r="AA88" s="399" t="s">
        <v>318</v>
      </c>
      <c r="AB88" s="399"/>
    </row>
    <row r="89" spans="24:47" x14ac:dyDescent="0.25">
      <c r="X89" s="24"/>
      <c r="Y89" s="399" t="s">
        <v>352</v>
      </c>
      <c r="Z89" s="402">
        <v>10</v>
      </c>
      <c r="AA89" s="399" t="s">
        <v>54</v>
      </c>
      <c r="AB89" s="399"/>
    </row>
    <row r="90" spans="24:47" x14ac:dyDescent="0.25">
      <c r="X90" s="24"/>
      <c r="Y90" s="399" t="s">
        <v>368</v>
      </c>
      <c r="Z90" s="404">
        <v>7.4999999999999997E-3</v>
      </c>
      <c r="AA90" s="399" t="s">
        <v>318</v>
      </c>
      <c r="AB90" s="399"/>
    </row>
    <row r="91" spans="24:47" x14ac:dyDescent="0.25">
      <c r="X91" s="24"/>
      <c r="AC91" s="26"/>
    </row>
    <row r="92" spans="24:47" x14ac:dyDescent="0.25">
      <c r="AC92" s="23"/>
      <c r="AM92" s="23"/>
    </row>
    <row r="93" spans="24:47" x14ac:dyDescent="0.25">
      <c r="AC93" s="23"/>
      <c r="AM93" s="23"/>
    </row>
    <row r="94" spans="24:47" x14ac:dyDescent="0.25">
      <c r="AM94" s="23"/>
      <c r="AN94" s="23"/>
      <c r="AO94" s="23"/>
      <c r="AP94" s="23"/>
      <c r="AQ94" s="23"/>
      <c r="AR94" s="23"/>
      <c r="AS94" s="23"/>
      <c r="AT94" s="23"/>
      <c r="AU94" s="23"/>
    </row>
    <row r="95" spans="24:47" x14ac:dyDescent="0.25">
      <c r="AB95" s="23"/>
      <c r="AN95" s="23"/>
      <c r="AO95" s="23"/>
      <c r="AP95" s="23"/>
      <c r="AQ95" s="23"/>
      <c r="AR95" s="23"/>
      <c r="AS95" s="23"/>
      <c r="AT95" s="23"/>
      <c r="AU95" s="23"/>
    </row>
    <row r="96" spans="24:47" x14ac:dyDescent="0.25">
      <c r="AB96" s="23"/>
      <c r="AN96" s="23"/>
      <c r="AO96" s="23"/>
      <c r="AP96" s="23"/>
      <c r="AQ96" s="23"/>
      <c r="AR96" s="23"/>
      <c r="AS96" s="23"/>
      <c r="AT96" s="23"/>
      <c r="AU96" s="23"/>
    </row>
    <row r="97" spans="28:28" x14ac:dyDescent="0.25">
      <c r="AB97" s="23"/>
    </row>
  </sheetData>
  <sheetProtection selectLockedCells="1"/>
  <mergeCells count="4">
    <mergeCell ref="G2:H2"/>
    <mergeCell ref="A2:B2"/>
    <mergeCell ref="AE6:AF6"/>
    <mergeCell ref="AG6:AH6"/>
  </mergeCells>
  <hyperlinks>
    <hyperlink ref="C4" r:id="rId1"/>
    <hyperlink ref="C12" r:id="rId2"/>
    <hyperlink ref="C5" r:id="rId3"/>
    <hyperlink ref="C10" r:id="rId4"/>
    <hyperlink ref="C9" r:id="rId5"/>
    <hyperlink ref="C13" r:id="rId6"/>
    <hyperlink ref="C14" r:id="rId7"/>
    <hyperlink ref="C15" r:id="rId8"/>
  </hyperlinks>
  <pageMargins left="0.7" right="0.7" top="0.75" bottom="0.75" header="0.3" footer="0.3"/>
  <pageSetup orientation="portrait" r:id="rId9"/>
  <ignoredErrors>
    <ignoredError sqref="G5:G27" unlockedFormula="1"/>
  </ignoredErrors>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25</vt:i4>
      </vt:variant>
    </vt:vector>
  </HeadingPairs>
  <TitlesOfParts>
    <vt:vector size="31" baseType="lpstr">
      <vt:lpstr>Biogás   Energía eléctrica</vt:lpstr>
      <vt:lpstr>Biogás   Energía térmica</vt:lpstr>
      <vt:lpstr>Combustibles alternativos</vt:lpstr>
      <vt:lpstr>Compostaje </vt:lpstr>
      <vt:lpstr>Comentarios</vt:lpstr>
      <vt:lpstr>Parámetros</vt:lpstr>
      <vt:lpstr>Comentarios!bodegas</vt:lpstr>
      <vt:lpstr>bodegas</vt:lpstr>
      <vt:lpstr>Comentarios!ciclocompleto</vt:lpstr>
      <vt:lpstr>ciclocompleto</vt:lpstr>
      <vt:lpstr>Comentarios!curtiembres</vt:lpstr>
      <vt:lpstr>curtiembres</vt:lpstr>
      <vt:lpstr>Comentarios!engorde</vt:lpstr>
      <vt:lpstr>engorde</vt:lpstr>
      <vt:lpstr>Comentarios!faenaaves</vt:lpstr>
      <vt:lpstr>faenaaves</vt:lpstr>
      <vt:lpstr>Comentarios!feedlot</vt:lpstr>
      <vt:lpstr>feedlot</vt:lpstr>
      <vt:lpstr>Comentarios!frigorificos</vt:lpstr>
      <vt:lpstr>frigorificos</vt:lpstr>
      <vt:lpstr>'Compostaje '!FV</vt:lpstr>
      <vt:lpstr>Comentarios!lactea</vt:lpstr>
      <vt:lpstr>lactea</vt:lpstr>
      <vt:lpstr>Comentarios!olivicola</vt:lpstr>
      <vt:lpstr>olivicola</vt:lpstr>
      <vt:lpstr>Comentarios!pollosparrilleros</vt:lpstr>
      <vt:lpstr>pollosparrilleros</vt:lpstr>
      <vt:lpstr>Comentarios!ponedoras</vt:lpstr>
      <vt:lpstr>ponedoras</vt:lpstr>
      <vt:lpstr>Comentarios!tambos</vt:lpstr>
      <vt:lpstr>tambos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vemmer</dc:creator>
  <cp:lastModifiedBy>usuario</cp:lastModifiedBy>
  <dcterms:created xsi:type="dcterms:W3CDTF">2016-04-08T17:25:43Z</dcterms:created>
  <dcterms:modified xsi:type="dcterms:W3CDTF">2020-07-13T14:00:48Z</dcterms:modified>
</cp:coreProperties>
</file>